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russellp\Desktop\"/>
    </mc:Choice>
  </mc:AlternateContent>
  <xr:revisionPtr revIDLastSave="0" documentId="8_{2DD4392D-1C1D-4304-9D4F-E41AD99C24E9}" xr6:coauthVersionLast="47" xr6:coauthVersionMax="47" xr10:uidLastSave="{00000000-0000-0000-0000-000000000000}"/>
  <bookViews>
    <workbookView xWindow="380" yWindow="380" windowWidth="14400" windowHeight="7270" xr2:uid="{53EB71AE-BD42-4D5D-9CAB-4C647BA1C774}"/>
  </bookViews>
  <sheets>
    <sheet name="Cover page" sheetId="4" r:id="rId1"/>
    <sheet name="Assessment tool" sheetId="1" r:id="rId2"/>
    <sheet name="choices" sheetId="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19" i="1" l="1"/>
  <c r="G17" i="1"/>
  <c r="E68" i="1" l="1"/>
  <c r="E109" i="1"/>
  <c r="E107" i="1"/>
  <c r="E106" i="1"/>
  <c r="E104" i="1"/>
  <c r="E103" i="1"/>
  <c r="E102" i="1"/>
  <c r="E101" i="1"/>
  <c r="E88" i="1"/>
  <c r="E89" i="1"/>
  <c r="E90" i="1"/>
  <c r="E85" i="1"/>
  <c r="E86" i="1"/>
  <c r="E87" i="1"/>
  <c r="E84" i="1"/>
  <c r="E81" i="1"/>
  <c r="E80" i="1"/>
  <c r="E77" i="1"/>
  <c r="E78" i="1"/>
  <c r="E79" i="1"/>
  <c r="E76" i="1"/>
  <c r="E62" i="1"/>
  <c r="E63" i="1"/>
  <c r="E64" i="1"/>
  <c r="E65" i="1"/>
  <c r="E66" i="1"/>
  <c r="E67" i="1"/>
  <c r="E69" i="1"/>
  <c r="E70" i="1"/>
  <c r="E71" i="1"/>
  <c r="E72" i="1"/>
  <c r="E73" i="1"/>
  <c r="E74" i="1"/>
  <c r="E61" i="1"/>
  <c r="E56" i="1"/>
  <c r="E57" i="1"/>
  <c r="E58" i="1"/>
  <c r="E55" i="1"/>
  <c r="E51" i="1"/>
  <c r="E52" i="1"/>
  <c r="E53" i="1"/>
  <c r="E50" i="1"/>
  <c r="E40" i="1"/>
  <c r="E41" i="1"/>
  <c r="E42" i="1"/>
  <c r="E43" i="1"/>
  <c r="E44" i="1"/>
  <c r="E45" i="1"/>
  <c r="E46" i="1"/>
  <c r="E47" i="1"/>
  <c r="E39" i="1"/>
  <c r="E30" i="1"/>
  <c r="E31" i="1"/>
  <c r="E32" i="1"/>
  <c r="E33" i="1"/>
  <c r="E34" i="1"/>
  <c r="E35" i="1"/>
  <c r="E29" i="1"/>
  <c r="E27" i="1"/>
  <c r="E6" i="1"/>
  <c r="E7" i="1"/>
  <c r="E8" i="1"/>
  <c r="E9" i="1"/>
  <c r="E10" i="1"/>
  <c r="E11" i="1"/>
  <c r="E5" i="1"/>
  <c r="L99" i="1" l="1"/>
  <c r="L82" i="1"/>
  <c r="L69" i="1"/>
  <c r="L70" i="1"/>
  <c r="L59" i="1"/>
  <c r="L60" i="1"/>
  <c r="L48" i="1"/>
  <c r="L49" i="1"/>
  <c r="L3" i="1"/>
  <c r="L2" i="1"/>
  <c r="L12" i="1"/>
  <c r="L13" i="1"/>
  <c r="L15" i="1"/>
  <c r="L16" i="1"/>
  <c r="L17" i="1"/>
  <c r="L18" i="1"/>
  <c r="L19" i="1"/>
  <c r="L21" i="1"/>
  <c r="L22" i="1"/>
  <c r="L23" i="1"/>
  <c r="L24" i="1"/>
  <c r="L25" i="1"/>
  <c r="L28" i="1"/>
  <c r="L36" i="1"/>
  <c r="L38" i="1"/>
  <c r="L54" i="1"/>
  <c r="L75" i="1"/>
  <c r="L83" i="1"/>
  <c r="L91" i="1"/>
  <c r="L92" i="1"/>
  <c r="L93" i="1"/>
  <c r="L94" i="1"/>
  <c r="L95" i="1"/>
  <c r="L96" i="1"/>
  <c r="L97" i="1"/>
  <c r="L100" i="1"/>
  <c r="L105" i="1"/>
  <c r="K112" i="1"/>
  <c r="E112" i="1" s="1"/>
  <c r="K111" i="1"/>
  <c r="K110" i="1"/>
  <c r="E110" i="1" s="1"/>
  <c r="K108" i="1"/>
  <c r="E108" i="1" s="1"/>
  <c r="J102" i="1"/>
  <c r="J109" i="1"/>
  <c r="J107" i="1"/>
  <c r="J106" i="1"/>
  <c r="J104" i="1"/>
  <c r="L103" i="1"/>
  <c r="J101" i="1"/>
  <c r="AY5" i="2"/>
  <c r="AY4" i="2"/>
  <c r="AY3" i="2"/>
  <c r="AY7" i="2"/>
  <c r="AY6" i="2"/>
  <c r="G91" i="1"/>
  <c r="J90" i="1"/>
  <c r="J89" i="1"/>
  <c r="J88" i="1"/>
  <c r="J87" i="1"/>
  <c r="J86" i="1"/>
  <c r="J85" i="1"/>
  <c r="J84" i="1"/>
  <c r="J81" i="1"/>
  <c r="J80" i="1"/>
  <c r="J77" i="1"/>
  <c r="J78" i="1"/>
  <c r="J79" i="1"/>
  <c r="J76" i="1"/>
  <c r="J72" i="1"/>
  <c r="J73" i="1"/>
  <c r="J74" i="1"/>
  <c r="J71" i="1"/>
  <c r="J68" i="1"/>
  <c r="J67" i="1"/>
  <c r="J66" i="1"/>
  <c r="J65" i="1"/>
  <c r="J64" i="1"/>
  <c r="J63" i="1"/>
  <c r="J62" i="1"/>
  <c r="J61" i="1"/>
  <c r="J56" i="1"/>
  <c r="J57" i="1"/>
  <c r="J58" i="1"/>
  <c r="J55" i="1"/>
  <c r="J51" i="1"/>
  <c r="J52" i="1"/>
  <c r="J53" i="1"/>
  <c r="L50" i="1"/>
  <c r="J40" i="1"/>
  <c r="J41" i="1"/>
  <c r="J42" i="1"/>
  <c r="J43" i="1"/>
  <c r="J44" i="1"/>
  <c r="J45" i="1"/>
  <c r="J46" i="1"/>
  <c r="J47" i="1"/>
  <c r="J39" i="1"/>
  <c r="AV9" i="2"/>
  <c r="AV8" i="2"/>
  <c r="AV7" i="2"/>
  <c r="AV6" i="2"/>
  <c r="AV5" i="2"/>
  <c r="AV4" i="2"/>
  <c r="AV3" i="2"/>
  <c r="G36" i="1"/>
  <c r="G37" i="1" s="1"/>
  <c r="J30" i="1"/>
  <c r="J31" i="1"/>
  <c r="J32" i="1"/>
  <c r="J33" i="1"/>
  <c r="J34" i="1"/>
  <c r="J35" i="1"/>
  <c r="J29" i="1"/>
  <c r="L27" i="1"/>
  <c r="J27" i="1"/>
  <c r="G98" i="1" l="1"/>
  <c r="E111" i="1"/>
  <c r="J111" i="1" s="1"/>
  <c r="L88" i="1"/>
  <c r="J110" i="1"/>
  <c r="L108" i="1"/>
  <c r="L90" i="1"/>
  <c r="L53" i="1"/>
  <c r="L104" i="1"/>
  <c r="L85" i="1"/>
  <c r="L47" i="1"/>
  <c r="L84" i="1"/>
  <c r="L45" i="1"/>
  <c r="L44" i="1"/>
  <c r="L43" i="1"/>
  <c r="L72" i="1"/>
  <c r="L65" i="1"/>
  <c r="L61" i="1"/>
  <c r="L109" i="1"/>
  <c r="L71" i="1"/>
  <c r="L57" i="1"/>
  <c r="L56" i="1"/>
  <c r="L107" i="1"/>
  <c r="L81" i="1"/>
  <c r="L68" i="1"/>
  <c r="L55" i="1"/>
  <c r="L42" i="1"/>
  <c r="L58" i="1"/>
  <c r="L112" i="1"/>
  <c r="L106" i="1"/>
  <c r="L80" i="1"/>
  <c r="L67" i="1"/>
  <c r="L41" i="1"/>
  <c r="L79" i="1"/>
  <c r="L66" i="1"/>
  <c r="L78" i="1"/>
  <c r="L52" i="1"/>
  <c r="J103" i="1"/>
  <c r="L77" i="1"/>
  <c r="L64" i="1"/>
  <c r="L51" i="1"/>
  <c r="J50" i="1"/>
  <c r="L102" i="1"/>
  <c r="L89" i="1"/>
  <c r="L76" i="1"/>
  <c r="L63" i="1"/>
  <c r="L101" i="1"/>
  <c r="L62" i="1"/>
  <c r="L87" i="1"/>
  <c r="L74" i="1"/>
  <c r="L86" i="1"/>
  <c r="L73" i="1"/>
  <c r="L46" i="1"/>
  <c r="L40" i="1"/>
  <c r="L39" i="1"/>
  <c r="L35" i="1"/>
  <c r="L34" i="1"/>
  <c r="L33" i="1"/>
  <c r="L32" i="1"/>
  <c r="L31" i="1"/>
  <c r="L30" i="1"/>
  <c r="L29" i="1"/>
  <c r="G96" i="1"/>
  <c r="G97" i="1"/>
  <c r="I37" i="1"/>
  <c r="H37" i="1" s="1"/>
  <c r="L37" i="1" s="1"/>
  <c r="L111" i="1" l="1"/>
  <c r="J118" i="1" a="1"/>
  <c r="J118" i="1" s="1"/>
  <c r="O118" i="1" s="1"/>
  <c r="L110" i="1"/>
  <c r="J119" i="1" a="1"/>
  <c r="J119" i="1" s="1"/>
  <c r="O119" i="1" s="1"/>
  <c r="J117" i="1" a="1"/>
  <c r="J117" i="1" s="1"/>
  <c r="O117" i="1" s="1"/>
  <c r="J112" i="1"/>
  <c r="J108" i="1"/>
  <c r="I98" i="1"/>
  <c r="H98" i="1" l="1"/>
  <c r="L98" i="1" s="1"/>
  <c r="J121" i="1" a="1"/>
  <c r="J121" i="1" s="1"/>
  <c r="O121" i="1" s="1"/>
  <c r="G21" i="1"/>
  <c r="AS11" i="2"/>
  <c r="AS10" i="2"/>
  <c r="AS9" i="2"/>
  <c r="AS8" i="2"/>
  <c r="AS7" i="2"/>
  <c r="AS6" i="2"/>
  <c r="AS5" i="2"/>
  <c r="AS4" i="2"/>
  <c r="AS3" i="2"/>
  <c r="G18" i="1"/>
  <c r="G23" i="1" l="1"/>
  <c r="G24" i="1"/>
  <c r="G25" i="1"/>
  <c r="G26" i="1"/>
  <c r="AP11" i="2"/>
  <c r="AP10" i="2"/>
  <c r="AP9" i="2"/>
  <c r="AP8" i="2"/>
  <c r="AP7" i="2"/>
  <c r="AP6" i="2"/>
  <c r="AP5" i="2"/>
  <c r="AP4" i="2"/>
  <c r="J120" i="1" l="1" a="1"/>
  <c r="J120" i="1" s="1"/>
  <c r="O120" i="1" s="1"/>
  <c r="I26" i="1"/>
  <c r="AP3" i="2"/>
  <c r="G16" i="1"/>
  <c r="H26" i="1" l="1"/>
  <c r="L26" i="1" s="1"/>
  <c r="G20" i="1"/>
  <c r="G12" i="1"/>
  <c r="AM8" i="2"/>
  <c r="AM7" i="2"/>
  <c r="AM5" i="2"/>
  <c r="AM6" i="2"/>
  <c r="AM4" i="2"/>
  <c r="AM3" i="2"/>
  <c r="J26" i="1" l="1"/>
  <c r="G14" i="1"/>
  <c r="G13" i="1"/>
  <c r="J11" i="1"/>
  <c r="L11" i="1"/>
  <c r="J10" i="1"/>
  <c r="L10" i="1"/>
  <c r="J9" i="1"/>
  <c r="L9" i="1"/>
  <c r="J8" i="1"/>
  <c r="L8" i="1"/>
  <c r="J7" i="1"/>
  <c r="L7" i="1"/>
  <c r="J5" i="1"/>
  <c r="L5" i="1"/>
  <c r="J6" i="1"/>
  <c r="L6" i="1"/>
  <c r="I20" i="1"/>
  <c r="H20" i="1" l="1"/>
  <c r="L20" i="1" s="1"/>
  <c r="I14" i="1"/>
  <c r="H14" i="1" l="1"/>
  <c r="J14" i="1" l="1"/>
  <c r="L14" i="1"/>
  <c r="E4" i="1"/>
  <c r="J4" i="1" s="1"/>
  <c r="L4" i="1" l="1"/>
  <c r="M2" i="1" s="1" a="1"/>
  <c r="M2" i="1" s="1"/>
  <c r="J116" i="1" l="1" a="1"/>
  <c r="J116" i="1" s="1"/>
  <c r="O116" i="1" l="1"/>
  <c r="O123"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<sst xmlns="http://schemas.openxmlformats.org/spreadsheetml/2006/main" count="460" uniqueCount="315">
  <si>
    <t>q12</t>
  </si>
  <si>
    <t>q13</t>
  </si>
  <si>
    <t>q14</t>
  </si>
  <si>
    <t>q15</t>
  </si>
  <si>
    <t>q16</t>
  </si>
  <si>
    <t>q17</t>
  </si>
  <si>
    <t>q18</t>
  </si>
  <si>
    <t>q19</t>
  </si>
  <si>
    <t>q21</t>
  </si>
  <si>
    <t>q22</t>
  </si>
  <si>
    <t>q23</t>
  </si>
  <si>
    <t>q24</t>
  </si>
  <si>
    <t>q25</t>
  </si>
  <si>
    <t>q26</t>
  </si>
  <si>
    <t>q28</t>
  </si>
  <si>
    <t>q29</t>
  </si>
  <si>
    <t>q32</t>
  </si>
  <si>
    <t>q33</t>
  </si>
  <si>
    <t>q38</t>
  </si>
  <si>
    <t>q41</t>
  </si>
  <si>
    <t>q46</t>
  </si>
  <si>
    <t>q59</t>
  </si>
  <si>
    <t>q60</t>
  </si>
  <si>
    <t>q61</t>
  </si>
  <si>
    <t>q62</t>
  </si>
  <si>
    <t>q63</t>
  </si>
  <si>
    <t xml:space="preserve">Please indicate whether your agency has established the following enterprise-wide frameworks, strategies and policies covering the management of all information assets across the agency (including outsourced arrangements) regardless of format or location. </t>
  </si>
  <si>
    <t>Enterprise-wide information management strategy</t>
  </si>
  <si>
    <t>Information management policy (including accountable destruction)</t>
  </si>
  <si>
    <t>Normal Administrative Practice (NAP) policy</t>
  </si>
  <si>
    <t>Information risk management strategy</t>
  </si>
  <si>
    <t>Information security (including cyber and protective security) strategic and policy documents aligning with the Australian Government Protective security policy framework (Attorney-General's Department) and the Australian Government Information security manual (Australian Signals Directorate)</t>
  </si>
  <si>
    <t>Privacy policy (Office of the Australian Information Commissioner requirement)</t>
  </si>
  <si>
    <t>Data strategy (Office of the National Data Commissioner advice)</t>
  </si>
  <si>
    <t>Does your agency have an information governance framework?</t>
  </si>
  <si>
    <t>Has your agency's information governance framework been developed, or reviewed and updated, since 1 January 2021?</t>
  </si>
  <si>
    <t>Does your agency's information governance framework cover all information assets (records, information and data) or records and information only?</t>
  </si>
  <si>
    <t>Does your agency have an active information governance committee (or similar mechanism) with responsibility for oversight of enterprise-wide information management?</t>
  </si>
  <si>
    <t>Yes – the committee, or similar mechanism, makes decisions on enterprise-wide information management issues (includes all types of information assets)</t>
  </si>
  <si>
    <t>Partial – a records and information governance committee or similar mechanism makes decisions on enterprise-wide information management for records and information (excludes data)</t>
  </si>
  <si>
    <t xml:space="preserve">Partial – a data governance committee or similar mechanism makes decisions on enterprise-wide data management (covers data only) </t>
  </si>
  <si>
    <t>No – my agency does not have an active information governance committee or similar mechanism</t>
  </si>
  <si>
    <t>Have the responsibilities of your information governance committee (or similar mechanism) been created, or reviewed and updated since 1 January 2021?</t>
  </si>
  <si>
    <t>Does your agency’s CIGO, or similar role, cover oversight of all information assets – records, information and data?</t>
  </si>
  <si>
    <t>Yes – the CIGO, or similar role, has oversight of all types of information assets</t>
  </si>
  <si>
    <t>Partial – the CIGO, or similar role, has oversight of records and information (excludes data)</t>
  </si>
  <si>
    <t>Partial – a Chief Data Officer has oversight of data (covers data only)</t>
  </si>
  <si>
    <t>Have the responsibilities of your agency’s CIGO, or similar role, been developed, or reviewed and updated, since 1 January 2021?</t>
  </si>
  <si>
    <t>Which of the following best describes how information assets (records, information and data) are aligned in your agency?</t>
  </si>
  <si>
    <t>To what extent are the following governance practices implemented in your agency?</t>
  </si>
  <si>
    <t>Implement information governance to ensure complete and accountable management of all information assets regardless of format, location, type or value. For example, incorporate information governance policies and strategies into business systems, processes and procedures.</t>
  </si>
  <si>
    <t>Undertake information management risk assessments, and implement actions or controls to mitigate risks where required.</t>
  </si>
  <si>
    <t>Require contractual arrangements to meet agency and Australian Government requirements for information asset management. (This includes when information management is outsourced or provided under shared service arrangements; or information assets are held with third party providers or in the cloud.)</t>
  </si>
  <si>
    <t>Identify high-value and high-risk information assets, including vital information assets, to ensure they are managed appropriately.</t>
  </si>
  <si>
    <t>Review how well information management practices and processes support business objectives and report to senior management on achievements and gaps.</t>
  </si>
  <si>
    <t>Monitor and report to senior management on progress towards achieving the policy actions of the Building trust in the public record: managing information and data for government and community policy. With risks of not following recommended practice documented.</t>
  </si>
  <si>
    <t>In the last 5 years, has your agency’s information management been audited to assess how well your agency, and agency staff, are complying with regulatory, business and community requirements for creating and managing information assets?</t>
  </si>
  <si>
    <t>Have you started to address any compliance gaps that were identified as a result of that audit?</t>
  </si>
  <si>
    <t>To what extent are the following practices, to develop a culture that values information assets and information management, implemented in your agency?</t>
  </si>
  <si>
    <t>Senior management actively support information management as a business priority.</t>
  </si>
  <si>
    <t>Senior management are represented on the information governance committee or equivalent.</t>
  </si>
  <si>
    <t>Agency information management roles and responsibilities are documented and explained to staff.</t>
  </si>
  <si>
    <t>Everyone's understanding of, and capability to undertake, their information management responsibilities is subject to periodic checks or audits.</t>
  </si>
  <si>
    <t>Plans are in place to address staff information management capability gaps.</t>
  </si>
  <si>
    <t>User adoption of information management policies, products, systems or system functionality is reviewed and barriers to adoption identified and addressed.</t>
  </si>
  <si>
    <t>Everyone has access to appropriate training to continuously develop information management skills relevant to their role, ensuring they have the capability to create and manage information assets appropriately.</t>
  </si>
  <si>
    <t>Plans are in place to address information management capability gaps for staff with specialist information management roles.</t>
  </si>
  <si>
    <t>Staff responsible for information management possess professional qualifications and /or accreditation. 
Note: This includes staff in the process of obtaining qualifications and/or certification.</t>
  </si>
  <si>
    <t xml:space="preserve">To what extent are the following practices, to create necessary, fit-for-purpose, information assets, implemented in your agency? </t>
  </si>
  <si>
    <t>Identify requirements for creating information assets, including to enable efficient business, meet legal and regulatory obligations, manage business risks and support rights and entitlements. 
For example, provide practical guidance to staff to assist them to identify when records should be created based on these requirements.</t>
  </si>
  <si>
    <t xml:space="preserve">Create and capture information assets routinely as evidence of government business, to meet business and stakeholder needs. 
Note: This includes communications made or received, actions undertaken or observed, research, investigations, deliberations and decisions. </t>
  </si>
  <si>
    <t xml:space="preserve">Create and capture good quality information assets that are complete, accurate and have sufficient detail to be understood in the future. 
Note: The implementation guideline of the Information management standard provides more information about sufficient detail for good quality business information. </t>
  </si>
  <si>
    <t>Integrate information asset creation into business processes by: automating creation in business systems and/or ensuring staff understand when and how to document business information though other means, such as templates, procedures or training.</t>
  </si>
  <si>
    <t>To what extent are the following best practices implemented in your agency to create (and manage) information assets in digital formats that enable efficient business processes?</t>
  </si>
  <si>
    <t>Work digitally by default (that is create, store and manage information digitally).</t>
  </si>
  <si>
    <t>Manage all digital information assets created from 1 January 2016 onwards digitally.</t>
  </si>
  <si>
    <t>Identify and remove paper from internal and external processes to improve efficiency. 
Examples of behaviours of agencies with high maturity in this practice include routinely: digitising paper received as early as possible; re-designing processes for digital efficiencies; moving to digital authorisations and workflows.</t>
  </si>
  <si>
    <t>Convert existing analogue formats to digital formats where there is value to business. 
For example: digitising needed paper information assets for easy discovery and use.</t>
  </si>
  <si>
    <t>To what extent are the following practices implemented in your agency to adequately describe information assets?</t>
  </si>
  <si>
    <t xml:space="preserve">Identify what metadata needs to be created to ensure information assets can be found, understood and accessed when needed. 
Note: This includes sufficient metadata to identify information assets, understand their context and use, and preserve their ability to be accessed appropriately. </t>
  </si>
  <si>
    <t xml:space="preserve">Ensure business systems, including whole-of government systems, meet minimum metadata requirements for information management. 
For example, assessing them against the National Archives' Australian Government recordkeeping metadata standard or minimum metadata set. </t>
  </si>
  <si>
    <t>Create and maintain standardised metadata. 
For example, based on: national, international and industry standards; controlled vocabularies (e.g. taxonomies, ontologies, data dictionaries, glossaries, thesauri); business rules.</t>
  </si>
  <si>
    <t>Review the usefulness of metadata to support business needs and update when required.</t>
  </si>
  <si>
    <t>Facilitate the capture of consistent metadata through mechanisms such as automatic capture of metadata in systems or drop down menus and validation checks.</t>
  </si>
  <si>
    <t>Provide advice to staff on consistent entry of metadata where system functionality cannot be built in.</t>
  </si>
  <si>
    <t>Undertake quality assurance checks on consistency of entry, or application of, metadata.</t>
  </si>
  <si>
    <t>Does your agency have a metadata strategy or framework to support continuous improvement of holistic enterprise-wide metadata management?</t>
  </si>
  <si>
    <t>To what extent are the following storage and preservation practices implemented in your agency?</t>
  </si>
  <si>
    <t>Store information assets securely ensuring sensitive information (such as security classified or personally sensitive information) is identified and managed according to: protective security, cyber security, and privacy requirements.</t>
  </si>
  <si>
    <t>Create digital information assets in sustainable digital formats with a lower risk of becoming obsolete.</t>
  </si>
  <si>
    <t xml:space="preserve">Implement storage and preservation strategies, procedures and activities to ensure information can be accessed, used and understood for as long as it is required. 
For example: implement business continuity and disaster recovery plans; assess preservation risks and implement corrective actions, such as converting information assets to current or lower risk formats to ensure information 
remains usable over time; make regular integrity checks in systems. </t>
  </si>
  <si>
    <t xml:space="preserve">Ensure contractual arrangements for third-party storage (including cloud) cover information management requirements including security, access, migration, disposal and end-of-contract considerations to ensure access to needed information assets is not compromised. </t>
  </si>
  <si>
    <t>To what extent are the following practices implemented in your agency to save information assets into systems where they can be appropriately managed?</t>
  </si>
  <si>
    <t>Review the capacity of existing business systems, including whole of government systems, to meet functional requirements for information management and address gaps. 
Note: Includes third party provided and cloud-based systems. For example, assessing functionality against the National Archives' Business systems assessment framework (BSAF) or ISO 16175, Information and documentation – processes and 
functional requirements for software for managing records. 
Note: Functional requirements includes access, description, security, preservation, disposal and export requirements.</t>
  </si>
  <si>
    <t>Ensure new business systems specifications, including whole of government business systems, meet functional requirements for information management.
Note: Includes third party provided and cloud-based systems. For example, assessing functionality against the National Archives' Business systems assessment framework (BSAF) or ISO 16175, Information and documentation – processes and 
functional requirements for software for managing records. 
Note: Functional requirements includes access, description, security, preservation, disposal and export requirements.</t>
  </si>
  <si>
    <t>Address information management requirements when upgrading, migrating or decommissioning systems, including legacy and poorly performing systems, to meet business needs.</t>
  </si>
  <si>
    <t>Save information assets into endorsed systems with appropriate information management functionality or governance. 
Note: This includes information assets in all forms (for example, physical, digital, audio-visual).</t>
  </si>
  <si>
    <t>Keep information assets in systems or platforms where they cannot be managed appropriately, such as uncontrolled network drives or collaboration platforms without appropriate information management functionality.</t>
  </si>
  <si>
    <t xml:space="preserve">Provide guidance to staff on information governance controls and rules when using systems and platforms with limited information management functionality. 
For example, there may be a rule to capture needed information assets into a system where they can be managed appropriately. </t>
  </si>
  <si>
    <t xml:space="preserve">To what extent are the following practices on appraising and disposing of information assets implemented in your agency? </t>
  </si>
  <si>
    <t>Ensure retain as national archives (RNA) information assets across systems and locations have been identified to inform appropriate management. 
Examples of behaviours of agencies with high maturity in this practice include routinely: knowing which systems hold RNA; knowing the percentage of RNA stored; identifying RNA information asset registers; identifying RNA information assets through metadata in systems.</t>
  </si>
  <si>
    <t>Establish governance across all business systems, applications, and platforms used (includes social media) so that information assets are not destroyed before their authorised retention date.</t>
  </si>
  <si>
    <t>Transfer 'retain as national archives' information assets, as soon as practicable, or within 15 years of creation to the care of the National Archives.</t>
  </si>
  <si>
    <t xml:space="preserve">Ensure existing information has been sentenced and the disposal action is known (even if it has not been carried out). 
Examples of behaviours of agencies with high maturity in this practice include routinely: sentencing information assets at the appropriate level (aggregation) and sentencing information assets in legacy systems to enable accountable disposal. </t>
  </si>
  <si>
    <t>After sentencing, promptly destroy information assets of temporary value when no longer needed, at or after they have reached their authorised retention period.</t>
  </si>
  <si>
    <t>Were there any instances of unauthorised destruction of information assets in the past 12 months?</t>
  </si>
  <si>
    <t>Were these instances reported internally as part of information governance?</t>
  </si>
  <si>
    <t>Yes, to the agency head</t>
  </si>
  <si>
    <t>Yes, to the Chief Information Governance Officer (or similar role)</t>
  </si>
  <si>
    <t>Yes, to the information governance committee (or equivalent mechanism)</t>
  </si>
  <si>
    <t xml:space="preserve">Yes, to another officer/internal accountability or reporting mechanism </t>
  </si>
  <si>
    <t>No, this was not reported internally</t>
  </si>
  <si>
    <t>Were these instances reported to the National Archives of Australia?</t>
  </si>
  <si>
    <t xml:space="preserve">To what extent does your agency enable effective use and reuse of information for staff and other users with a right of access? </t>
  </si>
  <si>
    <t>Assess how easy it is for users to find and use information assets, and plan to improve discovery and retrieval.</t>
  </si>
  <si>
    <t>Find it is unable to locate needed information assets for business purposes, or to meet public and official requests for that information.</t>
  </si>
  <si>
    <t xml:space="preserve">Remove restrictions on access to information assets as soon as they no longer apply. 
Note: This includes declassifying information assets when the security classification is no longer required. The Attorney-General's Department recommends agencies esestablish procedures so that information is automatically declassified and to regularly review if classified information retains its original sensitivity. </t>
  </si>
  <si>
    <t>Adopt an open by default position for the release of non-sensitive information assets to staff and public, documenting exceptions and the conditions upon which access can be granted.</t>
  </si>
  <si>
    <t>To what extent does your agency embed governance mechanisms to drive interoperability?</t>
  </si>
  <si>
    <t xml:space="preserve">Assess interoperability maturity based on business and stakeholder needs. This includes identifying interoperability maturity gaps and planning to address them.
Note: Your assessment should be based on your needs for interoperable data. You may choose to use the National Archives' Data Interoperability Maturity Model for your assessment. </t>
  </si>
  <si>
    <t>Ensure data governance is defined and guides business with agency-wide agreed standards.</t>
  </si>
  <si>
    <t xml:space="preserve">Use agreed standards with other agencies, or organisations, for data publishing and exchange. 
Examples of behaviours of agencies with high maturity in this practice include: having agreed standards for controlled vocabulary, file format, data structure and approved data sharing channels. </t>
  </si>
  <si>
    <t>Standardise metadata to support sharing of data between internal and external systems, where needed.</t>
  </si>
  <si>
    <t>Assign staff roles that facilitate data management and interoperability (including data stewards, curators and custodians).</t>
  </si>
  <si>
    <t>Manage metadata using a metadata registry.</t>
  </si>
  <si>
    <t>Have a consistent and reliable agency-wide data inventory.</t>
  </si>
  <si>
    <t>Question</t>
  </si>
  <si>
    <t>prog</t>
  </si>
  <si>
    <t>YPN</t>
  </si>
  <si>
    <t>YN</t>
  </si>
  <si>
    <t>multiq15</t>
  </si>
  <si>
    <t>multiq22</t>
  </si>
  <si>
    <t>standard</t>
  </si>
  <si>
    <t>multiq24</t>
  </si>
  <si>
    <t>YNNA</t>
  </si>
  <si>
    <t>standardRev</t>
  </si>
  <si>
    <t>standardNA</t>
  </si>
  <si>
    <t>choice</t>
  </si>
  <si>
    <t>Not developed</t>
  </si>
  <si>
    <t>Planning consultation underway to develop</t>
  </si>
  <si>
    <t>Draft completed</t>
  </si>
  <si>
    <t>Completed and up to date</t>
  </si>
  <si>
    <t>Completed and needs to be reviewed/updated</t>
  </si>
  <si>
    <t>Yes</t>
  </si>
  <si>
    <t>No</t>
  </si>
  <si>
    <t>score</t>
  </si>
  <si>
    <t>N/A</t>
  </si>
  <si>
    <t>Answer</t>
  </si>
  <si>
    <t>combo num</t>
  </si>
  <si>
    <t>Partial - in the progress of developing one</t>
  </si>
  <si>
    <t>All information assets – records, information and data</t>
  </si>
  <si>
    <t>Records and information only</t>
  </si>
  <si>
    <t>combo code</t>
  </si>
  <si>
    <t>q13_14_15combo</t>
  </si>
  <si>
    <t>q16_17combo</t>
  </si>
  <si>
    <t>TF</t>
  </si>
  <si>
    <t>q18_21combo</t>
  </si>
  <si>
    <t>Does your agency have a Chief Information Governance Officer (CIGO), or similar role, which establishes and maintains an enterprise-wide culture for an accountable and business-focused information management environment?</t>
  </si>
  <si>
    <t>Records and information are governed separately from data</t>
  </si>
  <si>
    <t>Never/rarely</t>
  </si>
  <si>
    <t>Occasionally</t>
  </si>
  <si>
    <t>Sometimes</t>
  </si>
  <si>
    <t>Usually/most of the time</t>
  </si>
  <si>
    <t>Almost always/always</t>
  </si>
  <si>
    <t xml:space="preserve">Information governance frameworks, committees and roles cover all information assets – records, information and data  </t>
  </si>
  <si>
    <t>While separate governance mechanisms exist for records, information and data, there is overarching governance mechanism/s that ensures their management is integrated and aligned for business benefit</t>
  </si>
  <si>
    <t>Not applicable</t>
  </si>
  <si>
    <t>Not applicable (no sigificant complaince gaps were identified)</t>
  </si>
  <si>
    <t>Yes – in the last 2 years</t>
  </si>
  <si>
    <t>Yes – between 2 and 5 years ago</t>
  </si>
  <si>
    <t>q24_25combo</t>
  </si>
  <si>
    <t>—q12a</t>
  </si>
  <si>
    <t>—q12b</t>
  </si>
  <si>
    <t>—q12c</t>
  </si>
  <si>
    <t>—q12d</t>
  </si>
  <si>
    <t>—q12e</t>
  </si>
  <si>
    <t>—q12f</t>
  </si>
  <si>
    <t>—q12g</t>
  </si>
  <si>
    <t>—q12h</t>
  </si>
  <si>
    <t>—q16.1</t>
  </si>
  <si>
    <t>—q16.2</t>
  </si>
  <si>
    <t>—q16.3</t>
  </si>
  <si>
    <t>—q16.4</t>
  </si>
  <si>
    <t>—q19.1</t>
  </si>
  <si>
    <t>—q19.2</t>
  </si>
  <si>
    <t>—q19.3</t>
  </si>
  <si>
    <t>—q23a</t>
  </si>
  <si>
    <t>—q23b</t>
  </si>
  <si>
    <t>—q23c</t>
  </si>
  <si>
    <t>—q23d</t>
  </si>
  <si>
    <t>—q23e</t>
  </si>
  <si>
    <t>—q23f</t>
  </si>
  <si>
    <t>—q23g</t>
  </si>
  <si>
    <t>—q26a</t>
  </si>
  <si>
    <t>—q26b</t>
  </si>
  <si>
    <t>—q26c</t>
  </si>
  <si>
    <t>—q26d</t>
  </si>
  <si>
    <t>—q26e</t>
  </si>
  <si>
    <t>—q26f</t>
  </si>
  <si>
    <t>—q26g</t>
  </si>
  <si>
    <t>—q26h</t>
  </si>
  <si>
    <t>—q26i</t>
  </si>
  <si>
    <t>—q28a</t>
  </si>
  <si>
    <t>—q28b</t>
  </si>
  <si>
    <t>—q28c</t>
  </si>
  <si>
    <t>—q28d</t>
  </si>
  <si>
    <t>—q29a</t>
  </si>
  <si>
    <t>—q29b</t>
  </si>
  <si>
    <t>—q29c</t>
  </si>
  <si>
    <t>—q29d</t>
  </si>
  <si>
    <t>—q32a</t>
  </si>
  <si>
    <t>—q32b</t>
  </si>
  <si>
    <t>—q32c</t>
  </si>
  <si>
    <t>—q32d</t>
  </si>
  <si>
    <t>—q32e</t>
  </si>
  <si>
    <t>—q32f</t>
  </si>
  <si>
    <t>—q32g</t>
  </si>
  <si>
    <t>—q38a</t>
  </si>
  <si>
    <t>—q38b</t>
  </si>
  <si>
    <t>—q38c</t>
  </si>
  <si>
    <t>—q38d</t>
  </si>
  <si>
    <t>—q41a</t>
  </si>
  <si>
    <t>—q41b</t>
  </si>
  <si>
    <t>—q41c</t>
  </si>
  <si>
    <t>—q41d</t>
  </si>
  <si>
    <t>—q41e</t>
  </si>
  <si>
    <t>—q41g</t>
  </si>
  <si>
    <t>—q46a</t>
  </si>
  <si>
    <t>—q46b</t>
  </si>
  <si>
    <t>—q46c</t>
  </si>
  <si>
    <t>—q46e</t>
  </si>
  <si>
    <t>—q46f</t>
  </si>
  <si>
    <t>—q46g</t>
  </si>
  <si>
    <t>—q46h</t>
  </si>
  <si>
    <t>—q60.1</t>
  </si>
  <si>
    <t>—q60.2</t>
  </si>
  <si>
    <t>—q60.3</t>
  </si>
  <si>
    <t>—q60.4</t>
  </si>
  <si>
    <t>—q60.5</t>
  </si>
  <si>
    <t>—q62a</t>
  </si>
  <si>
    <t>—q62b</t>
  </si>
  <si>
    <t>—q62c</t>
  </si>
  <si>
    <t>—q62d</t>
  </si>
  <si>
    <t>—q63a</t>
  </si>
  <si>
    <t>—q63b</t>
  </si>
  <si>
    <t>—q63c</t>
  </si>
  <si>
    <t>—q63d</t>
  </si>
  <si>
    <t>—q63e</t>
  </si>
  <si>
    <t>—q63f</t>
  </si>
  <si>
    <t>YPNmeta</t>
  </si>
  <si>
    <t>Partial - a metadata strategy is under development but has not been implemented yet</t>
  </si>
  <si>
    <t>—q63g</t>
  </si>
  <si>
    <t>q59_61combo</t>
  </si>
  <si>
    <t>-</t>
  </si>
  <si>
    <t>Index</t>
  </si>
  <si>
    <t>Governance and culture</t>
  </si>
  <si>
    <t>Creating information assets</t>
  </si>
  <si>
    <t>Describing information assets</t>
  </si>
  <si>
    <t>Appraising and disposing</t>
  </si>
  <si>
    <t>Use, reuse and interoperability</t>
  </si>
  <si>
    <t>Overall</t>
  </si>
  <si>
    <t xml:space="preserve">Facilitate automated identification of information assets due for destruction or transfer. 
Examples of behaviours of agencies with high maturity in this practice include: sentencing to enable information to be flagged for destruction after its authorised retention period has been reached, and configuring an agency’s EDRMS and business systems to flag information due for destruction based on disposal policies and rules. </t>
  </si>
  <si>
    <t>Score (1-5)</t>
  </si>
  <si>
    <t>Results</t>
  </si>
  <si>
    <t>Storing, preserving, and managing information assets</t>
  </si>
  <si>
    <t>Question number</t>
  </si>
  <si>
    <t>Relevant links</t>
  </si>
  <si>
    <t>Maturity index: Governance and culture</t>
  </si>
  <si>
    <t xml:space="preserve"> • https://www.oaic.gov.au/about-the-OAIC/information-policy/information-policy-resources/principles-on-open-public-sector-information
 • https://www.oaic.gov.au/freedom-of-information
 • https://www.finance.gov.au/government/public-data</t>
  </si>
  <si>
    <t>https://www.oaic.gov.au/privacy/privacy-guidance-for-organisations-and-government-agencies/more-guidance/guide-to-developing-an-app-privacy-policy</t>
  </si>
  <si>
    <t>National Archives of Australia</t>
  </si>
  <si>
    <t>Information management maturity self-assessment tool</t>
  </si>
  <si>
    <t>Purpose</t>
  </si>
  <si>
    <t xml:space="preserve">This tool has been developed to assist Australian Government agencies  self-assess their information management maturity. 
It is good practice for agencies to regularly assess their information management maturity. The results can be used to: 
  • improve understanding and awareness of your agency's current information management governance, practices, processes and systems; 
  • set priorities and identify pathways to improve your agency's information management maturity; 
  • build business cases for resources to improve your agency's information management; and
  • engage with your agency's executive leadership. </t>
  </si>
  <si>
    <t>Background</t>
  </si>
  <si>
    <t>Instructions</t>
  </si>
  <si>
    <t>Contact</t>
  </si>
  <si>
    <r>
      <t xml:space="preserve">If you have any questions about using this tool, please contact National Archives via </t>
    </r>
    <r>
      <rPr>
        <u/>
        <sz val="11"/>
        <color theme="1"/>
        <rFont val="Aptos Display"/>
        <family val="2"/>
        <scheme val="major"/>
      </rPr>
      <t>information.management@naa.gov.au</t>
    </r>
  </si>
  <si>
    <r>
      <t xml:space="preserve">This tool is based on National Archives' Check-up survey. The question numbers, text and weighting align with the survey as it was run in 2025. 
Further details about the survey and copies of previous years' questionnaires are available on our website: </t>
    </r>
    <r>
      <rPr>
        <u/>
        <sz val="11"/>
        <color theme="1"/>
        <rFont val="Aptos Display"/>
        <family val="2"/>
        <scheme val="major"/>
      </rPr>
      <t>https://www.naa.gov.au/information-management/check-up-survey</t>
    </r>
  </si>
  <si>
    <t xml:space="preserve">Open access to information policy. Includes aligning with: 
• Principles on open public sector information: Principle 1 – Office of the Australian Information Commissioner
• Freedom of information – Office of the Australian Information Commissioner
• Public Data – Department of Finance </t>
  </si>
  <si>
    <t>scale</t>
  </si>
  <si>
    <t>combo score</t>
  </si>
  <si>
    <t>blanks</t>
  </si>
  <si>
    <t>don't score</t>
  </si>
  <si>
    <t>invalid</t>
  </si>
  <si>
    <t>Maturity index: Creating information assets</t>
  </si>
  <si>
    <t>Maturity index: Describing information assets</t>
  </si>
  <si>
    <t>Maturity index: Storing, preserving, and managing information assets</t>
  </si>
  <si>
    <t>Maturity index: Appraising and disposing</t>
  </si>
  <si>
    <t>Maturity index: Use, resuse and interoperability</t>
  </si>
  <si>
    <t>result message</t>
  </si>
  <si>
    <t>weight</t>
  </si>
  <si>
    <t>Validation</t>
  </si>
  <si>
    <t xml:space="preserve">Analyse and document how long information assets need to be kept to meet: operational needs; stakeholder needs including rights and entitlements; legislative and regulatory obligations; and community needs, including the need to have access to valuable Australian Government information for research and reuse. 
Examples of behaviours of agencies with high maturity in this practice include: regularly reviewing business activities to ensure records authority coverage is adequate and up to date; participating in developing needed records authority coverage with the National Archives of Australia; and ensuring where information assets are not yet covered by a records authority, that the value and needs for retention of the assets are known, so that they can be appropriately managed.  </t>
  </si>
  <si>
    <t>https://www.naa.gov.au/information-management/information-governance/establishing-information-governance-framework/developing-enterprise-wide-information-management-strategy</t>
  </si>
  <si>
    <t>https://www.naa.gov.au/information-management/information-governance/establishing-information-governance-framework/developing-information-management-policy</t>
  </si>
  <si>
    <t>https://www.naa.gov.au/information-management/disposing-information/normal-administrative-practice-nap</t>
  </si>
  <si>
    <t xml:space="preserve"> • https://www.protectivesecurity.gov.au/
 • https://www.cyber.gov.au/business-government/asds-cyber-security-frameworks/ism</t>
  </si>
  <si>
    <r>
      <t xml:space="preserve">The questions and score calculations are in the </t>
    </r>
    <r>
      <rPr>
        <b/>
        <sz val="11"/>
        <color theme="1"/>
        <rFont val="Aptos Display"/>
        <family val="2"/>
        <scheme val="major"/>
      </rPr>
      <t>Assessment tool</t>
    </r>
    <r>
      <rPr>
        <sz val="11"/>
        <color theme="1"/>
        <rFont val="Aptos Display"/>
        <family val="2"/>
        <scheme val="major"/>
      </rPr>
      <t xml:space="preserve"> sheet. 
Most questions have a drop-down menu from which to select an answer. Select the relevant cell in the </t>
    </r>
    <r>
      <rPr>
        <b/>
        <sz val="11"/>
        <color theme="1"/>
        <rFont val="Aptos Display"/>
        <family val="2"/>
        <scheme val="major"/>
      </rPr>
      <t>Answer</t>
    </r>
    <r>
      <rPr>
        <sz val="11"/>
        <color theme="1"/>
        <rFont val="Aptos Display"/>
        <family val="2"/>
        <scheme val="major"/>
      </rPr>
      <t xml:space="preserve"> column and the drop-down menu will become available. Other questions have a checkbox in the same column; click these boxes for a positive response. 
Cells in the Answer column will be greyed out depending on your response to previous relevant questions. For example, if your response to Q13 – </t>
    </r>
    <r>
      <rPr>
        <i/>
        <sz val="11"/>
        <color theme="1"/>
        <rFont val="Aptos Display"/>
        <family val="2"/>
        <scheme val="major"/>
      </rPr>
      <t>Does your agency have an information governance framework?</t>
    </r>
    <r>
      <rPr>
        <sz val="11"/>
        <color theme="1"/>
        <rFont val="Aptos Display"/>
        <family val="2"/>
        <scheme val="major"/>
      </rPr>
      <t xml:space="preserve"> – is a nil response or 'No', the subsequent questions about information governance frameworks will be greyed out. 
Cells are also permanently greyed out next to initial multiple choice questions where only the options can be selected (Q12, 23, 25, 28, 29, 32, 38, 41, 46, 62 and 63).</t>
    </r>
  </si>
  <si>
    <t>Identify and register its information assets where there is business value to do so. (Information asset registers record information about your information assets enabling them to be known and effectively governed.)</t>
  </si>
  <si>
    <t>https://www.naa.gov.au/information-management/information-governance/establishing-information-governance-framework</t>
  </si>
  <si>
    <t>https://www.naa.gov.au/information-management/information-governance/establishing-information-governance-framework/establishing-information-governance-committee</t>
  </si>
  <si>
    <t>https://www.naa.gov.au/information-management/information-governance/establishing-information-governance-framework/chief-information-governance-officer-cigo</t>
  </si>
  <si>
    <t>https://www.naa.gov.au/information-management/standards/information-management-standard-australian-government/principle-2-necessary-business-information-created</t>
  </si>
  <si>
    <t>https://www.naa.gov.au/information-management/standards/information-management-standard-australian-government/principle-3-business-information-adequately-described</t>
  </si>
  <si>
    <t xml:space="preserve"> • https://www.naa.gov.au/information-management/standards/australian-government-recordkeeping-metadata-standard 
 • https://www.naa.gov.au/information-management/standards/australian-government-recordkeeping-metadata-standard/minimum-metadata-set</t>
  </si>
  <si>
    <t xml:space="preserve"> • https://www.naa.gov.au/information-management/standards/information-management-standard-australian-government/principle-4-business-information-suitably-stored-and-preserved 
 •  https://www.naa.gov.au/information-management/standards/information-management-standard-australian-government/principle-7-business-information-saved-systems-where-it-can-be-appropriately-managed</t>
  </si>
  <si>
    <t>https://www.naa.gov.au/information-management/storing-and-preserving-information/preserving-information/born-digital-file-format-standards</t>
  </si>
  <si>
    <t>https://www.naa.gov.au/information-management/managing-information-assets/business-system-assessment-framework</t>
  </si>
  <si>
    <t xml:space="preserve"> • https://www.naa.gov.au/information-management/standards/information-management-standard-australian-government/principle-5-how-long-business-information-should-be-kept-known
 • https://www.naa.gov.au/information-management/standards/information-management-standard-australian-government/principle-6-business-information-accountably-destroyed-or-transferred</t>
  </si>
  <si>
    <t>https://www.naa.gov.au/information-management/disposing-information/information-disposal/compliant-destruction-australian-government-information</t>
  </si>
  <si>
    <t>https://www.naa.gov.au/information-management/standards/information-management-standard-australian-government/principle-8-business-information-available-use-and-reuse</t>
  </si>
  <si>
    <t>https://www.protectivesecurity.gov.au/publications-library/pspf-guidelines-2026</t>
  </si>
  <si>
    <t>https://www.naa.gov.au/information-management/build-data-interoperability/data-interoperability-maturity-model</t>
  </si>
  <si>
    <t>https://www.naa.gov.au/information-management/information-management-standards/information-management-standard-australian-government/principle-1-business-information-systematically-governed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</si>
</sst>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1"/>
      <color rgb="FF3F3F76"/>
      <name val="Aptos Narrow"/>
      <family val="2"/>
      <scheme val="minor"/>
    </font>
    <font>
      <b/>
      <sz val="11"/>
      <color theme="1"/>
      <name val="Aptos Narrow"/>
      <family val="2"/>
      <scheme val="minor"/>
    </font>
    <font>
      <sz val="11"/>
      <color theme="1"/>
      <name val="Aptos"/>
      <family val="2"/>
    </font>
    <font>
      <b/>
      <sz val="11"/>
      <color theme="1"/>
      <name val="Aptos"/>
      <family val="2"/>
    </font>
    <font>
      <sz val="11"/>
      <color theme="1"/>
      <name val="Aptos Display"/>
      <family val="2"/>
      <scheme val="major"/>
    </font>
    <font>
      <b/>
      <sz val="12"/>
      <color theme="1"/>
      <name val="Aptos"/>
      <family val="2"/>
    </font>
    <font>
      <b/>
      <sz val="11"/>
      <color theme="1"/>
      <name val="Aptos Display"/>
      <family val="2"/>
      <scheme val="major"/>
    </font>
    <font>
      <b/>
      <sz val="12"/>
      <color theme="1"/>
      <name val="Aptos Display"/>
      <family val="2"/>
      <scheme val="major"/>
    </font>
    <font>
      <b/>
      <sz val="14"/>
      <color theme="1"/>
      <name val="Aptos Display"/>
      <family val="2"/>
      <scheme val="major"/>
    </font>
    <font>
      <u/>
      <sz val="11"/>
      <color theme="1"/>
      <name val="Aptos Display"/>
      <family val="2"/>
      <scheme val="major"/>
    </font>
    <font>
      <sz val="9"/>
      <color theme="1"/>
      <name val="Aptos"/>
      <family val="2"/>
    </font>
    <font>
      <b/>
      <sz val="9"/>
      <color theme="1"/>
      <name val="Aptos"/>
      <family val="2"/>
    </font>
    <font>
      <i/>
      <sz val="11"/>
      <color theme="1"/>
      <name val="Aptos Display"/>
      <family val="2"/>
      <scheme val="major"/>
    </font>
  </fonts>
  <fills count="7">
    <fill>
      <patternFill patternType="none"/>
    </fill>
    <fill>
      <patternFill patternType="gray125"/>
    </fill>
    <fill>
      <patternFill patternType="solid">
        <fgColor rgb="FFFFCC99"/>
      </patternFill>
    </fill>
    <fill>
      <patternFill patternType="solid">
        <fgColor theme="3" tint="0.89999084444715716"/>
        <bgColor indexed="64"/>
      </patternFill>
    </fill>
    <fill>
      <patternFill patternType="lightUp">
        <fgColor theme="0" tint="-0.499984740745262"/>
        <bgColor theme="0"/>
      </patternFill>
    </fill>
    <fill>
      <patternFill patternType="solid">
        <fgColor theme="0"/>
        <bgColor indexed="64"/>
      </patternFill>
    </fill>
    <fill>
      <patternFill patternType="solid">
        <fgColor rgb="FFDAE9F8"/>
        <bgColor indexed="64"/>
      </patternFill>
    </fill>
  </fills>
  <borders count="8">
    <border>
      <left/>
      <right/>
      <top/>
      <bottom/>
      <diagonal/>
    </border>
    <border>
      <left style="thin">
        <color rgb="FF7F7F7F"/>
      </left>
      <right style="thin">
        <color rgb="FF7F7F7F"/>
      </right>
      <top style="thin">
        <color rgb="FF7F7F7F"/>
      </top>
      <bottom style="thin">
        <color rgb="FF7F7F7F"/>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theme="0" tint="-0.499984740745262"/>
      </left>
      <right style="thin">
        <color theme="0" tint="-0.499984740745262"/>
      </right>
      <top style="thin">
        <color theme="0" tint="-0.499984740745262"/>
      </top>
      <bottom style="double">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1" applyNumberFormat="0" applyAlignment="0" applyProtection="0"/>
  </cellStyleXfs>
  <cellXfs count="50">
    <xf numFmtId="0" fontId="0" fillId="0" borderId="0" xfId="0"/>
    <xf numFmtId="0" fontId="2" fillId="0" borderId="0" xfId="0" applyFont="1"/>
    <xf numFmtId="0" fontId="3" fillId="0" borderId="0" xfId="0" applyFont="1"/>
    <xf numFmtId="0" fontId="3" fillId="0" borderId="0" xfId="0" applyFont="1" applyAlignment="1">
      <alignment horizontal="left" indent="1"/>
    </xf>
    <xf numFmtId="0" fontId="0" fillId="0" borderId="0" xfId="0" applyAlignment="1">
      <alignment horizontal="left" indent="1"/>
    </xf>
    <xf numFmtId="2" fontId="0" fillId="0" borderId="0" xfId="0" applyNumberFormat="1" applyAlignment="1">
      <alignment horizontal="left" indent="1"/>
    </xf>
    <xf numFmtId="0" fontId="6" fillId="3" borderId="0" xfId="0" applyFont="1" applyFill="1" applyAlignment="1">
      <alignment horizontal="left" vertical="center" wrapText="1" indent="1"/>
    </xf>
    <xf numFmtId="0" fontId="6" fillId="3" borderId="0" xfId="0" applyFont="1" applyFill="1" applyAlignment="1">
      <alignment horizontal="left" vertical="center" indent="1"/>
    </xf>
    <xf numFmtId="0" fontId="3" fillId="0" borderId="0" xfId="0" applyFont="1" applyAlignment="1">
      <alignment horizontal="left" vertical="center" wrapText="1" indent="1"/>
    </xf>
    <xf numFmtId="0" fontId="3" fillId="0" borderId="3" xfId="0" applyFont="1" applyBorder="1" applyAlignment="1">
      <alignment horizontal="left" indent="1"/>
    </xf>
    <xf numFmtId="2" fontId="0" fillId="0" borderId="3" xfId="0" applyNumberFormat="1" applyBorder="1" applyAlignment="1">
      <alignment horizontal="left" indent="1"/>
    </xf>
    <xf numFmtId="0" fontId="4" fillId="0" borderId="4" xfId="0" applyFont="1" applyBorder="1" applyAlignment="1">
      <alignment horizontal="left" indent="1"/>
    </xf>
    <xf numFmtId="0" fontId="3" fillId="0" borderId="0" xfId="0" applyFont="1" applyAlignment="1">
      <alignment horizontal="left" vertical="center" indent="1"/>
    </xf>
    <xf numFmtId="0" fontId="3" fillId="0" borderId="5" xfId="0" applyFont="1" applyBorder="1" applyAlignment="1">
      <alignment horizontal="left" vertical="center" indent="1"/>
    </xf>
    <xf numFmtId="0" fontId="7" fillId="0" borderId="4" xfId="0" applyFont="1" applyBorder="1" applyAlignment="1">
      <alignment horizontal="left" indent="1"/>
    </xf>
    <xf numFmtId="0" fontId="0" fillId="0" borderId="5" xfId="0" applyBorder="1" applyAlignment="1">
      <alignment horizontal="left" indent="1"/>
    </xf>
    <xf numFmtId="0" fontId="3" fillId="0" borderId="5" xfId="0" applyFont="1" applyBorder="1" applyAlignment="1">
      <alignment horizontal="left" vertical="center" wrapText="1" indent="1"/>
    </xf>
    <xf numFmtId="0" fontId="0" fillId="0" borderId="0" xfId="0" applyAlignment="1">
      <alignment horizontal="left" vertical="top" indent="1"/>
    </xf>
    <xf numFmtId="0" fontId="9" fillId="0" borderId="0" xfId="0" applyFont="1" applyAlignment="1">
      <alignment horizontal="left" vertical="top" indent="1"/>
    </xf>
    <xf numFmtId="0" fontId="7" fillId="3" borderId="7" xfId="0" applyFont="1" applyFill="1" applyBorder="1" applyAlignment="1">
      <alignment horizontal="left" vertical="top" indent="1"/>
    </xf>
    <xf numFmtId="0" fontId="5" fillId="0" borderId="7" xfId="0" applyFont="1" applyBorder="1" applyAlignment="1">
      <alignment horizontal="left" vertical="top" wrapText="1" indent="1"/>
    </xf>
    <xf numFmtId="0" fontId="11" fillId="3" borderId="0" xfId="0" applyFont="1" applyFill="1" applyAlignment="1">
      <alignment horizontal="left" indent="1"/>
    </xf>
    <xf numFmtId="0" fontId="12" fillId="3" borderId="0" xfId="0" applyFont="1" applyFill="1" applyAlignment="1">
      <alignment horizontal="left" indent="1"/>
    </xf>
    <xf numFmtId="0" fontId="2" fillId="0" borderId="0" xfId="0" applyFont="1" applyAlignment="1">
      <alignment horizontal="centerContinuous" vertical="center"/>
    </xf>
    <xf numFmtId="0" fontId="3" fillId="0" borderId="0" xfId="0" applyFont="1" applyAlignment="1">
      <alignment horizontal="centerContinuous" vertical="center" wrapText="1"/>
    </xf>
    <xf numFmtId="0" fontId="4" fillId="0" borderId="0" xfId="0" applyFont="1" applyAlignment="1">
      <alignment horizontal="centerContinuous" vertical="center" wrapText="1"/>
    </xf>
    <xf numFmtId="0" fontId="3" fillId="0" borderId="0" xfId="0" applyFont="1" applyAlignment="1">
      <alignment horizontal="centerContinuous" vertical="center"/>
    </xf>
    <xf numFmtId="0" fontId="0" fillId="0" borderId="0" xfId="0" applyAlignment="1">
      <alignment horizontal="left" vertical="center" wrapText="1" indent="1"/>
    </xf>
    <xf numFmtId="0" fontId="6" fillId="3" borderId="0" xfId="0" applyFont="1" applyFill="1" applyAlignment="1" applyProtection="1">
      <alignment horizontal="left" vertical="center"/>
      <protection locked="0"/>
    </xf>
    <xf numFmtId="0" fontId="2" fillId="0" borderId="0" xfId="0" applyFont="1" applyAlignment="1" applyProtection="1">
      <alignment horizontal="centerContinuous" vertical="center"/>
      <protection locked="0"/>
    </xf>
    <xf numFmtId="0" fontId="3" fillId="0" borderId="0" xfId="0" applyFont="1" applyAlignment="1" applyProtection="1">
      <alignment vertical="center"/>
      <protection locked="0"/>
    </xf>
    <xf numFmtId="0" fontId="4" fillId="0" borderId="0" xfId="0" applyFont="1" applyAlignment="1" applyProtection="1">
      <alignment horizontal="centerContinuous" vertical="center" wrapText="1"/>
      <protection locked="0"/>
    </xf>
    <xf numFmtId="0" fontId="3" fillId="0" borderId="0" xfId="0" applyFont="1" applyAlignment="1" applyProtection="1">
      <alignment horizontal="centerContinuous" vertical="center"/>
      <protection locked="0"/>
    </xf>
    <xf numFmtId="0" fontId="3" fillId="5" borderId="2" xfId="1" applyFont="1" applyFill="1" applyBorder="1" applyAlignment="1" applyProtection="1">
      <alignment vertical="center"/>
      <protection locked="0"/>
    </xf>
    <xf numFmtId="0" fontId="3" fillId="4" borderId="2" xfId="0" applyFont="1" applyFill="1" applyBorder="1" applyAlignment="1" applyProtection="1">
      <alignment vertical="center"/>
      <protection locked="0"/>
    </xf>
    <xf numFmtId="0" fontId="3" fillId="5" borderId="2" xfId="1"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3" fillId="5" borderId="2" xfId="1" applyFont="1" applyFill="1" applyBorder="1" applyAlignment="1" applyProtection="1">
      <alignment vertical="center"/>
      <protection locked="0"/>
      <extLst>
        <ext xmlns:xfpb="http://schemas.microsoft.com/office/spreadsheetml/2022/featurepropertybag" uri="{C7286773-470A-42A8-94C5-96B5CB345126}">
          <xfpb:xfComplement i="0"/>
        </ext>
      </extLst>
    </xf>
    <xf numFmtId="0" fontId="3" fillId="5" borderId="2" xfId="1" applyFont="1" applyFill="1" applyBorder="1" applyAlignment="1" applyProtection="1">
      <alignment vertical="center" wrapText="1"/>
      <protection locked="0"/>
    </xf>
    <xf numFmtId="0" fontId="2" fillId="5" borderId="0" xfId="0" applyFont="1" applyFill="1" applyAlignment="1" applyProtection="1">
      <alignment horizontal="centerContinuous" vertical="center"/>
      <protection locked="0"/>
    </xf>
    <xf numFmtId="0" fontId="0" fillId="5" borderId="0" xfId="0" applyFill="1" applyAlignment="1" applyProtection="1">
      <alignment horizontal="centerContinuous"/>
      <protection locked="0"/>
    </xf>
    <xf numFmtId="0" fontId="3" fillId="5" borderId="6" xfId="1" applyFont="1" applyFill="1" applyBorder="1" applyAlignment="1" applyProtection="1">
      <alignment vertical="center"/>
      <protection locked="0"/>
    </xf>
    <xf numFmtId="0" fontId="8" fillId="6" borderId="0" xfId="0" applyFont="1" applyFill="1" applyAlignment="1">
      <alignment horizontal="centerContinuous"/>
    </xf>
    <xf numFmtId="0" fontId="0" fillId="6" borderId="0" xfId="0" applyFill="1" applyAlignment="1">
      <alignment horizontal="centerContinuous"/>
    </xf>
    <xf numFmtId="0" fontId="3" fillId="6" borderId="0" xfId="0" applyFont="1" applyFill="1" applyAlignment="1" applyProtection="1">
      <alignment horizontal="centerContinuous" vertical="center"/>
      <protection locked="0"/>
    </xf>
    <xf numFmtId="0" fontId="6" fillId="0" borderId="0" xfId="0" applyFont="1" applyAlignment="1">
      <alignment horizontal="centerContinuous" vertical="center"/>
    </xf>
    <xf numFmtId="0" fontId="0" fillId="0" borderId="0" xfId="0" applyAlignment="1">
      <alignment horizontal="centerContinuous"/>
    </xf>
    <xf numFmtId="0" fontId="2" fillId="0" borderId="0" xfId="0" applyFont="1" applyAlignment="1">
      <alignment horizontal="centerContinuous"/>
    </xf>
    <xf numFmtId="0" fontId="0" fillId="0" borderId="0" xfId="0" applyAlignment="1">
      <alignment horizontal="centerContinuous" vertical="center"/>
    </xf>
    <xf numFmtId="0" fontId="0" fillId="0" borderId="0" xfId="0" applyAlignment="1">
      <alignment horizontal="left" vertical="center" indent="1"/>
    </xf>
    <xf numFmtId="0" fontId="8" fillId="6" borderId="0" xfId="0" applyFont="1" applyFill="1" applyAlignment="1">
      <alignment horizontal="center"/>
    </xf>
  </cellXfs>
  <cellStyles count="2">
    <cellStyle name="Input" xfId="1" builtinId="20"/>
    <cellStyle name="Normal" xfId="0" builtinId="0"/>
  </cellStyles>
  <dxfs count="27">
    <dxf>
      <fill>
        <patternFill patternType="lightUp">
          <fgColor theme="0" tint="-0.499984740745262"/>
          <bgColor theme="0"/>
        </patternFill>
      </fill>
    </dxf>
    <dxf>
      <fill>
        <patternFill patternType="lightUp">
          <fgColor theme="0" tint="-0.499984740745262"/>
          <bgColor theme="0"/>
        </patternFill>
      </fill>
    </dxf>
    <dxf>
      <fill>
        <patternFill patternType="lightUp">
          <fgColor theme="0" tint="-0.499984740745262"/>
          <bgColor theme="0"/>
        </patternFill>
      </fill>
    </dxf>
    <dxf>
      <fill>
        <patternFill patternType="lightUp">
          <fgColor theme="0" tint="-0.499984740745262"/>
          <bgColor theme="0"/>
        </patternFill>
      </fill>
    </dxf>
    <dxf>
      <fill>
        <patternFill patternType="lightUp">
          <fgColor theme="0" tint="-0.499984740745262"/>
          <bgColor theme="0"/>
        </patternFill>
      </fill>
    </dxf>
    <dxf>
      <fill>
        <patternFill patternType="lightUp">
          <fgColor theme="0" tint="-0.499984740745262"/>
          <bgColor theme="0"/>
        </patternFill>
      </fill>
    </dxf>
    <dxf>
      <fill>
        <patternFill patternType="lightUp">
          <fgColor theme="0" tint="-0.499984740745262"/>
          <bgColor theme="0"/>
        </patternFill>
      </fill>
    </dxf>
    <dxf>
      <font>
        <b/>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dxf>
    <dxf>
      <font>
        <b val="0"/>
      </font>
    </dxf>
    <dxf>
      <font>
        <b val="0"/>
      </font>
    </dxf>
    <dxf>
      <font>
        <b val="0"/>
      </font>
    </dxf>
    <dxf>
      <font>
        <b val="0"/>
      </font>
    </dxf>
    <dxf>
      <font>
        <b/>
        <i val="0"/>
        <strike val="0"/>
        <condense val="0"/>
        <extend val="0"/>
        <outline val="0"/>
        <shadow val="0"/>
        <u val="none"/>
        <vertAlign val="baseline"/>
        <sz val="11"/>
        <color theme="1"/>
        <name val="Aptos Narrow"/>
        <family val="2"/>
        <scheme val="minor"/>
      </font>
    </dxf>
    <dxf>
      <alignment horizontal="general" vertical="bottom" textRotation="0" wrapText="0" indent="0" justifyLastLine="0" shrinkToFit="0" readingOrder="0"/>
    </dxf>
    <dxf>
      <font>
        <b/>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dxf>
    <dxf>
      <numFmt numFmtId="0" formatCode="General"/>
    </dxf>
    <dxf>
      <font>
        <b/>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dxf>
  </dxfs>
  <tableStyles count="0" defaultTableStyle="TableStyleMedium2" defaultPivotStyle="PivotStyleLight16"/>
  <colors>
    <mruColors>
      <color rgb="FFDAE9F8"/>
      <color rgb="FF3F3F76"/>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184149</xdr:rowOff>
    </xdr:from>
    <xdr:to>
      <xdr:col>2</xdr:col>
      <xdr:colOff>463550</xdr:colOff>
      <xdr:row>4</xdr:row>
      <xdr:rowOff>169002</xdr:rowOff>
    </xdr:to>
    <xdr:pic>
      <xdr:nvPicPr>
        <xdr:cNvPr id="2" name="Picture 1" descr="NAA National Archives of Australia logo">
          <a:extLst>
            <a:ext uri="{FF2B5EF4-FFF2-40B4-BE49-F238E27FC236}">
              <a16:creationId xmlns:a16="http://schemas.microsoft.com/office/drawing/2014/main" id="{4DC4FE1A-6A98-4220-B9FB-AEFA3B1C0B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84149"/>
          <a:ext cx="1638300" cy="7214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2609850</xdr:colOff>
      <xdr:row>1</xdr:row>
      <xdr:rowOff>6350</xdr:rowOff>
    </xdr:from>
    <xdr:to>
      <xdr:col>3</xdr:col>
      <xdr:colOff>12700</xdr:colOff>
      <xdr:row>5</xdr:row>
      <xdr:rowOff>25400</xdr:rowOff>
    </xdr:to>
    <xdr:pic>
      <xdr:nvPicPr>
        <xdr:cNvPr id="3" name="Picture 2">
          <a:extLst>
            <a:ext uri="{FF2B5EF4-FFF2-40B4-BE49-F238E27FC236}">
              <a16:creationId xmlns:a16="http://schemas.microsoft.com/office/drawing/2014/main" id="{840F49AD-ABC8-4F77-B7D1-47ED040A6DF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394200" y="190500"/>
          <a:ext cx="1816100" cy="7556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114</xdr:row>
      <xdr:rowOff>19048</xdr:rowOff>
    </xdr:from>
    <xdr:to>
      <xdr:col>2</xdr:col>
      <xdr:colOff>3638551</xdr:colOff>
      <xdr:row>122</xdr:row>
      <xdr:rowOff>180975</xdr:rowOff>
    </xdr:to>
    <xdr:sp macro="" textlink="M2">
      <xdr:nvSpPr>
        <xdr:cNvPr id="2" name="TextBox 1">
          <a:extLst>
            <a:ext uri="{FF2B5EF4-FFF2-40B4-BE49-F238E27FC236}">
              <a16:creationId xmlns:a16="http://schemas.microsoft.com/office/drawing/2014/main" id="{1086DE73-B39D-6725-0E20-0D54C0E20A20}"/>
            </a:ext>
          </a:extLst>
        </xdr:cNvPr>
        <xdr:cNvSpPr txBox="1"/>
      </xdr:nvSpPr>
      <xdr:spPr>
        <a:xfrm>
          <a:off x="38100" y="69161023"/>
          <a:ext cx="11677651" cy="16859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fld id="{B10A4F90-90D3-4B88-8EB1-BE7248D375A3}" type="TxLink">
            <a:rPr lang="en-US" sz="1100" b="1" i="0" u="none" strike="noStrike">
              <a:solidFill>
                <a:srgbClr val="000000"/>
              </a:solidFill>
              <a:latin typeface="Aptos" panose="020B0004020202020204" pitchFamily="34" charset="0"/>
            </a:rPr>
            <a:pPr algn="l"/>
            <a:t>To calculate your full result, please check the following questions for missing answers: 
q12a, q12b, q12c, q12d, q12e, q12f, q12g, q12h, q13, q18-21, q22, q23a, q23b, q23c, q23d, q23e, q23f, q23g, q26a, q26b, q26c, q26d, q26e, q26f, q26g, q26h, q26i, q28a, q28b, q28c, q28d, q29a, q29b, q29c, q29d, q32a, q32b, q32c, q32d, q32e, q32f, q32g, q33, q38a, q38b, q38c, q38d, q41a, q41b, q41c, q41d, q41e, q41g, q46a, q46b, q46c, q46e, q46f, q46g, q46h, q62a, q62b, q62c, q62d, q63a, q63b, q63c, q63d, q63e, q63f, q63g
The following questions have invalid answers, please resolve them to calculate your score: 
q16-17, q18-21, q24-25, q59-61</a:t>
          </a:fld>
          <a:endParaRPr lang="en-AU" sz="1100" b="1">
            <a:latin typeface="Aptos" panose="020B0004020202020204" pitchFamily="34" charset="0"/>
          </a:endParaRP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D18E34E-869C-473C-B736-84DCC1B39210}" name="prog" displayName="prog" ref="A2:B7" totalsRowShown="0" headerRowDxfId="26">
  <autoFilter ref="A2:B7" xr:uid="{1D18E34E-869C-473C-B736-84DCC1B39210}"/>
  <tableColumns count="2">
    <tableColumn id="1" xr3:uid="{07A8F59E-0083-485E-B8C7-ED4EFD8990D8}" name="choice"/>
    <tableColumn id="2" xr3:uid="{1CC4FCBF-42D2-42C8-84E3-CA4199869594}" name="score"/>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F1427F4-AA75-44D5-BF00-DB41CA71A20A}" name="YNNA" displayName="YNNA" ref="Z2:AB5" totalsRowShown="0" dataDxfId="15">
  <autoFilter ref="Z2:AB5" xr:uid="{FF1427F4-AA75-44D5-BF00-DB41CA71A20A}"/>
  <tableColumns count="3">
    <tableColumn id="1" xr3:uid="{5616CD9B-BA3A-4F50-B811-13FC37BF0F08}" name="choice" dataDxfId="14"/>
    <tableColumn id="2" xr3:uid="{83B2BC47-AD14-496F-AB84-6B96102436AA}" name="score" dataDxfId="13"/>
    <tableColumn id="3" xr3:uid="{40A9FAE1-E8F1-4125-868C-AE91F8212CBD}" name="combo num" dataDxfId="12"/>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B576361-2CD0-459A-8366-46F7A7545A21}" name="multiq24" displayName="multiq24" ref="V2:X5" totalsRowShown="0" headerRowDxfId="11">
  <autoFilter ref="V2:X5" xr:uid="{9B576361-2CD0-459A-8366-46F7A7545A21}"/>
  <tableColumns count="3">
    <tableColumn id="1" xr3:uid="{93145312-01AE-42B3-94F9-EE4226DD59EC}" name="choice"/>
    <tableColumn id="2" xr3:uid="{93084CB0-41E1-42BA-8F69-C7B69DD22A40}" name="score"/>
    <tableColumn id="3" xr3:uid="{5070D82E-4341-4C3E-BF92-CCC9F698FE7C}" name="combo num"/>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EF305F2-19DA-48EC-8126-6119AA16A29A}" name="q24_25combo" displayName="q24_25combo" ref="AV2:AW9" totalsRowShown="0">
  <autoFilter ref="AV2:AW9" xr:uid="{8EF305F2-19DA-48EC-8126-6119AA16A29A}"/>
  <tableColumns count="2">
    <tableColumn id="1" xr3:uid="{BA849BDF-B286-4F70-A988-0A79664D7A1C}" name="combo code"/>
    <tableColumn id="2" xr3:uid="{712A9484-905B-4CD4-8F5A-FE67EE107D40}" name="score"/>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4A17F11-8AB5-4195-9E83-4B7D8B2BC1A9}" name="YPNmeta" displayName="YPNmeta" ref="AD2:AE5" totalsRowShown="0" headerRowDxfId="10">
  <autoFilter ref="AD2:AE5" xr:uid="{A4A17F11-8AB5-4195-9E83-4B7D8B2BC1A9}"/>
  <tableColumns count="2">
    <tableColumn id="1" xr3:uid="{CB48CB53-B191-4B5B-8327-AC973FB192C6}" name="choice"/>
    <tableColumn id="2" xr3:uid="{C3B3502C-8979-4C5A-8FEA-2C30AD370952}" name="score"/>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7AA27C9-713B-4BD2-A94F-3B9EC4AAC43A}" name="standardRev" displayName="standardRev" ref="AG2:AH7" totalsRowShown="0" headerRowDxfId="9">
  <autoFilter ref="AG2:AH7" xr:uid="{E7AA27C9-713B-4BD2-A94F-3B9EC4AAC43A}"/>
  <tableColumns count="2">
    <tableColumn id="1" xr3:uid="{B35AACA9-60EC-45AE-808C-1E41D7EB706A}" name="choice"/>
    <tableColumn id="2" xr3:uid="{C88720C6-20FF-43D0-9ACF-AB2F6B49CFDE}" name="score"/>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605A673-0071-4444-92AB-5F4B1A1BE8C9}" name="q59_61combo" displayName="q59_61combo" ref="AY2:AZ7" totalsRowShown="0" headerRowDxfId="8">
  <autoFilter ref="AY2:AZ7" xr:uid="{D605A673-0071-4444-92AB-5F4B1A1BE8C9}"/>
  <tableColumns count="2">
    <tableColumn id="1" xr3:uid="{0270CAD0-67BE-47F5-A3F2-AE832560599F}" name="combo code"/>
    <tableColumn id="2" xr3:uid="{51E7681A-076A-4723-BEEA-36A2DB8BE54F}" name="score"/>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326DA953-63A1-4164-A180-7954A528B893}" name="standardNA" displayName="standardNA" ref="AJ2:AK8" totalsRowShown="0" headerRowDxfId="7">
  <autoFilter ref="AJ2:AK8" xr:uid="{326DA953-63A1-4164-A180-7954A528B893}"/>
  <tableColumns count="2">
    <tableColumn id="1" xr3:uid="{7170471B-FFE1-4970-991E-142EEA2EDF02}" name="choice"/>
    <tableColumn id="2" xr3:uid="{A12CC9F5-D8DF-4E73-9FEE-9F2269B2BD2D}" name="score"/>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DE36E57-3D6B-4CF2-963A-D78A793F3364}" name="YPN" displayName="YPN" ref="D2:F5" totalsRowShown="0" headerRowDxfId="25">
  <autoFilter ref="D2:F5" xr:uid="{7DE36E57-3D6B-4CF2-963A-D78A793F3364}"/>
  <tableColumns count="3">
    <tableColumn id="1" xr3:uid="{FB0E68AB-6F88-4558-9F24-51FE41F9266A}" name="choice"/>
    <tableColumn id="2" xr3:uid="{F1B544BA-66AA-4482-BC5F-7FD444BE474C}" name="score"/>
    <tableColumn id="3" xr3:uid="{5578D729-683A-45AF-8DAD-6B26FFE60C11}" name="combo num"/>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6F414C2-918D-4EEC-AE4E-D970CAA79374}" name="YN" displayName="YN" ref="H2:J4" totalsRowShown="0" headerRowDxfId="24">
  <autoFilter ref="H2:J4" xr:uid="{66F414C2-918D-4EEC-AE4E-D970CAA79374}"/>
  <tableColumns count="3">
    <tableColumn id="1" xr3:uid="{AB268A06-A268-43AB-BD51-8CD6820D6CF4}" name="choice"/>
    <tableColumn id="2" xr3:uid="{BF4232E9-39F6-4924-A2AB-C166E31A1247}" name="score"/>
    <tableColumn id="3" xr3:uid="{09A5DC27-9423-4B7C-ADFA-FE97DC0129E7}" name="combo num"/>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212E03-8886-4767-A01B-1EBF762F4072}" name="multiq15" displayName="multiq15" ref="L2:N4" totalsRowShown="0" headerRowDxfId="23">
  <autoFilter ref="L2:N4" xr:uid="{37212E03-8886-4767-A01B-1EBF762F4072}"/>
  <tableColumns count="3">
    <tableColumn id="1" xr3:uid="{55BBDAAA-A5C7-42EB-95F2-A0C60F21AFB8}" name="choice"/>
    <tableColumn id="2" xr3:uid="{2830DEF0-0B27-410C-BF6D-0F6B357AA366}" name="score"/>
    <tableColumn id="3" xr3:uid="{F169892B-1981-4CDB-98B0-BF2C4195DD6B}" name="combo num"/>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83B5E85-2BD2-492D-8187-8554CC280330}" name="q13_14_15combo" displayName="q13_14_15combo" ref="AM2:AN8" totalsRowShown="0" headerRowDxfId="22">
  <autoFilter ref="AM2:AN8" xr:uid="{A83B5E85-2BD2-492D-8187-8554CC280330}"/>
  <tableColumns count="2">
    <tableColumn id="1" xr3:uid="{F075349D-A01C-4528-B49F-73BC358670BE}" name="combo code" dataDxfId="21"/>
    <tableColumn id="2" xr3:uid="{A0C195A6-2508-40C4-8D59-E2F2C32E057F}" name="score"/>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DB7F8D8-856D-43FF-B468-CEA8CC4CC1B4}" name="q16_17combo" displayName="q16_17combo" ref="AP2:AQ11" totalsRowShown="0" headerRowDxfId="20">
  <autoFilter ref="AP2:AQ11" xr:uid="{FDB7F8D8-856D-43FF-B468-CEA8CC4CC1B4}"/>
  <tableColumns count="2">
    <tableColumn id="1" xr3:uid="{3329C23F-1E60-4D5F-B0D1-3FCA588CDD1C}" name="combo code"/>
    <tableColumn id="2" xr3:uid="{175B784C-35E4-4B2F-8781-8F60C70DCFF2}" name="score"/>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28F28EB-3B08-48C4-8A55-3C35F0EEA9B9}" name="q18_21combo" displayName="q18_21combo" ref="AS2:AT11" totalsRowShown="0" headerRowDxfId="19">
  <autoFilter ref="AS2:AT11" xr:uid="{D28F28EB-3B08-48C4-8A55-3C35F0EEA9B9}"/>
  <tableColumns count="2">
    <tableColumn id="1" xr3:uid="{ED3A0A1F-E2B3-48D7-A277-443EE234E411}" name="combo code"/>
    <tableColumn id="2" xr3:uid="{910783DA-290A-4884-9E54-5C3DF5C54AEC}" name="score"/>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EAD1B5D-11B3-4E1E-81F5-13F29D2C8370}" name="multiq22" displayName="multiq22" ref="P2:Q5" totalsRowShown="0" headerRowDxfId="18">
  <autoFilter ref="P2:Q5" xr:uid="{8EAD1B5D-11B3-4E1E-81F5-13F29D2C8370}"/>
  <tableColumns count="2">
    <tableColumn id="1" xr3:uid="{81D74727-2D1B-4684-932B-F608B1A341FE}" name="choice" dataDxfId="17"/>
    <tableColumn id="2" xr3:uid="{5AD426C2-5E16-497C-BD4C-DD3F2E5AA70D}" name="score"/>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6C4A07E-ACF2-4E8C-8B23-4D516409D8AF}" name="standard" displayName="standard" ref="S2:T7" totalsRowShown="0" headerRowDxfId="16">
  <autoFilter ref="S2:T7" xr:uid="{86C4A07E-ACF2-4E8C-8B23-4D516409D8AF}"/>
  <tableColumns count="2">
    <tableColumn id="1" xr3:uid="{03015556-1234-4AD5-95E2-43095D149C75}" name="choice"/>
    <tableColumn id="2" xr3:uid="{DF085C58-BD4E-4EBD-9BD5-CE9F71BF0A7B}" name="score"/>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1" Type="http://schemas.openxmlformats.org/officeDocument/2006/relationships/printerSettings" Target="../printerSettings/printerSettings2.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8CCF9-F051-45FC-81D2-15E5EB0F28C4}">
  <dimension ref="B7:C13"/>
  <sheetViews>
    <sheetView tabSelected="1" workbookViewId="0"/>
  </sheetViews>
  <sheetFormatPr defaultRowHeight="14.5" x14ac:dyDescent="0.35"/>
  <cols>
    <col min="2" max="2" width="16.81640625" style="17" customWidth="1"/>
    <col min="3" max="3" width="63.1796875" style="17" customWidth="1"/>
  </cols>
  <sheetData>
    <row r="7" spans="2:3" ht="18.5" x14ac:dyDescent="0.35">
      <c r="B7" s="18" t="s">
        <v>270</v>
      </c>
    </row>
    <row r="8" spans="2:3" ht="18.5" x14ac:dyDescent="0.35">
      <c r="B8" s="18" t="s">
        <v>271</v>
      </c>
    </row>
    <row r="10" spans="2:3" ht="203.25" customHeight="1" x14ac:dyDescent="0.35">
      <c r="B10" s="19" t="s">
        <v>272</v>
      </c>
      <c r="C10" s="20" t="s">
        <v>273</v>
      </c>
    </row>
    <row r="11" spans="2:3" ht="94.5" customHeight="1" x14ac:dyDescent="0.35">
      <c r="B11" s="19" t="s">
        <v>274</v>
      </c>
      <c r="C11" s="20" t="s">
        <v>278</v>
      </c>
    </row>
    <row r="12" spans="2:3" ht="246.75" customHeight="1" x14ac:dyDescent="0.35">
      <c r="B12" s="19" t="s">
        <v>275</v>
      </c>
      <c r="C12" s="20" t="s">
        <v>298</v>
      </c>
    </row>
    <row r="13" spans="2:3" ht="36" customHeight="1" x14ac:dyDescent="0.35">
      <c r="B13" s="19" t="s">
        <v>276</v>
      </c>
      <c r="C13" s="20" t="s">
        <v>277</v>
      </c>
    </row>
  </sheetData>
  <sheetProtection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2A088-E589-4416-8778-FDBCEC1DF5BC}">
  <dimension ref="A1:P127"/>
  <sheetViews>
    <sheetView zoomScaleNormal="100" workbookViewId="0">
      <pane ySplit="1" topLeftCell="A2" activePane="bottomLeft" state="frozen"/>
      <selection pane="bottomLeft" activeCell="C4" sqref="C4"/>
    </sheetView>
  </sheetViews>
  <sheetFormatPr defaultColWidth="0" defaultRowHeight="14.5" zeroHeight="1" x14ac:dyDescent="0.35"/>
  <cols>
    <col min="1" max="1" width="13.26953125" style="12" customWidth="1"/>
    <col min="2" max="2" width="107.81640625" style="8" customWidth="1"/>
    <col min="3" max="3" width="54.7265625" style="30" customWidth="1"/>
    <col min="4" max="4" width="12" hidden="1" customWidth="1"/>
    <col min="5" max="5" width="6" style="1" hidden="1" customWidth="1"/>
    <col min="6" max="6" width="7.81640625" hidden="1" customWidth="1"/>
    <col min="7" max="7" width="11.54296875" hidden="1" customWidth="1"/>
    <col min="8" max="8" width="12.54296875" style="1" hidden="1" customWidth="1"/>
    <col min="9" max="9" width="11.81640625" hidden="1" customWidth="1"/>
    <col min="10" max="10" width="7" hidden="1" customWidth="1"/>
    <col min="11" max="11" width="10.7265625" hidden="1" customWidth="1"/>
    <col min="12" max="13" width="7" hidden="1" customWidth="1"/>
    <col min="14" max="14" width="51.54296875" bestFit="1" customWidth="1"/>
    <col min="15" max="15" width="13.453125" customWidth="1"/>
    <col min="16" max="16" width="8.7265625" customWidth="1"/>
    <col min="17" max="16384" width="8.7265625" hidden="1"/>
  </cols>
  <sheetData>
    <row r="1" spans="1:15" ht="32" x14ac:dyDescent="0.35">
      <c r="A1" s="6" t="s">
        <v>265</v>
      </c>
      <c r="B1" s="6" t="s">
        <v>126</v>
      </c>
      <c r="C1" s="28" t="s">
        <v>147</v>
      </c>
      <c r="D1" s="21" t="s">
        <v>280</v>
      </c>
      <c r="E1" s="22" t="s">
        <v>145</v>
      </c>
      <c r="F1" s="21" t="s">
        <v>291</v>
      </c>
      <c r="G1" s="21" t="s">
        <v>148</v>
      </c>
      <c r="H1" s="22" t="s">
        <v>281</v>
      </c>
      <c r="I1" s="21" t="s">
        <v>152</v>
      </c>
      <c r="J1" s="21" t="s">
        <v>282</v>
      </c>
      <c r="K1" s="21" t="s">
        <v>283</v>
      </c>
      <c r="L1" s="21" t="s">
        <v>284</v>
      </c>
      <c r="M1" s="21" t="s">
        <v>290</v>
      </c>
      <c r="N1" s="7" t="s">
        <v>266</v>
      </c>
    </row>
    <row r="2" spans="1:15" ht="30.75" customHeight="1" x14ac:dyDescent="0.35">
      <c r="A2" s="44" t="s">
        <v>267</v>
      </c>
      <c r="B2" s="23"/>
      <c r="C2" s="29"/>
      <c r="D2" s="23"/>
      <c r="E2" s="23"/>
      <c r="F2" s="47"/>
      <c r="G2" s="23"/>
      <c r="H2" s="23"/>
      <c r="I2" s="23"/>
      <c r="J2" s="23"/>
      <c r="K2" s="23"/>
      <c r="L2" s="45" t="b">
        <f t="shared" ref="L2:L3" si="0">IF(ISNA(E2),SUBSTITUTE(TRIM(A2),"—",""))</f>
        <v>0</v>
      </c>
      <c r="M2" s="45" t="str" cm="1">
        <f t="array" ref="M2">_xlfn.LET(
_xlpm.anyinvalid,COUNTIF(L4:L112,"&lt;&gt;FALSE")&gt;0,
_xlpm.anyblank,OR(ISTEXT(J3:J112)),
_xlpm.listofblanks,_xlfn.TEXTJOIN(", ",TRUE,_xlfn._xlws.FILTER(J3:J112,J3:J112&lt;&gt;FALSE)),
_xlpm.positivemsg,"No validation errors.",
_xlpm.invalidsmsg,IF(_xlpm.anyinvalid,"The following questions have invalid answers, please resolve them to calculate your score: 
" &amp; _xlfn.TEXTJOIN(", ",TRUE,_xlfn._xlws.FILTER(L4:L112,L4:L112&lt;&gt;FALSE)),""),
_xlpm.blanksmsg,IF(_xlpm.anyblank,"To calculate your full result, please check the following questions for missing answers: 
" &amp; _xlpm.listofblanks,""),
IF( OR(_xlpm.anyinvalid,_xlpm.anyblank), _xlpm.blanksmsg &amp; CHAR(10) &amp; _xlpm.invalidsmsg, _xlpm.positivemsg)
)</f>
        <v>To calculate your full result, please check the following questions for missing answers: 
q12a, q12b, q12c, q12d, q12e, q12f, q12g, q12h, q13, q18-21, q22, q23a, q23b, q23c, q23d, q23e, q23f, q23g, q26a, q26b, q26c, q26d, q26e, q26f, q26g, q26h, q26i, q28a, q28b, q28c, q28d, q29a, q29b, q29c, q29d, q32a, q32b, q32c, q32d, q32e, q32f, q32g, q33, q38a, q38b, q38c, q38d, q41a, q41b, q41c, q41d, q41e, q41g, q46a, q46b, q46c, q46e, q46f, q46g, q46h, q62a, q62b, q62c, q62d, q63a, q63b, q63c, q63d, q63e, q63f, q63g
The following questions have invalid answers, please resolve them to calculate your score: 
q16-17, q18-21, q24-25, q59-61</v>
      </c>
      <c r="N2" s="23"/>
    </row>
    <row r="3" spans="1:15" ht="77.150000000000006" customHeight="1" x14ac:dyDescent="0.35">
      <c r="A3" s="12" t="s">
        <v>0</v>
      </c>
      <c r="B3" s="8" t="s">
        <v>26</v>
      </c>
      <c r="C3" s="34"/>
      <c r="D3" t="s">
        <v>146</v>
      </c>
      <c r="L3" t="b">
        <f t="shared" si="0"/>
        <v>0</v>
      </c>
      <c r="N3" s="27" t="s">
        <v>314</v>
      </c>
      <c r="O3" s="4"/>
    </row>
    <row r="4" spans="1:15" ht="64" customHeight="1" x14ac:dyDescent="0.35">
      <c r="A4" s="12" t="s">
        <v>171</v>
      </c>
      <c r="B4" s="8" t="s">
        <v>27</v>
      </c>
      <c r="C4" s="33"/>
      <c r="D4" t="s">
        <v>127</v>
      </c>
      <c r="E4" s="1" t="str">
        <f>IF(C4="","",_xlfn.XLOOKUP(C4,prog[choice],prog[score])*F4)</f>
        <v/>
      </c>
      <c r="F4">
        <v>1</v>
      </c>
      <c r="J4" t="str">
        <f>IF(E4="",SUBSTITUTE(TRIM(A4),"—",""))</f>
        <v>q12a</v>
      </c>
      <c r="L4" t="b">
        <f>IF(ISNA(E4),SUBSTITUTE(TRIM(A4),"—",""))</f>
        <v>0</v>
      </c>
      <c r="N4" s="27" t="s">
        <v>294</v>
      </c>
      <c r="O4" s="4"/>
    </row>
    <row r="5" spans="1:15" ht="64.5" customHeight="1" x14ac:dyDescent="0.35">
      <c r="A5" s="12" t="s">
        <v>172</v>
      </c>
      <c r="B5" s="8" t="s">
        <v>28</v>
      </c>
      <c r="C5" s="33"/>
      <c r="D5" t="s">
        <v>127</v>
      </c>
      <c r="E5" s="1" t="str">
        <f>IF(C5="","",_xlfn.XLOOKUP(C5,prog[choice],prog[score])*F5)</f>
        <v/>
      </c>
      <c r="F5">
        <v>1</v>
      </c>
      <c r="J5" t="str">
        <f t="shared" ref="J5:J11" si="1">IF(E5="",SUBSTITUTE(TRIM(A5),"—",""))</f>
        <v>q12b</v>
      </c>
      <c r="L5" t="b">
        <f t="shared" ref="L5:L71" si="2">IF(ISNA(E5),SUBSTITUTE(TRIM(A5),"—",""))</f>
        <v>0</v>
      </c>
      <c r="N5" s="27" t="s">
        <v>295</v>
      </c>
      <c r="O5" s="4"/>
    </row>
    <row r="6" spans="1:15" ht="36.65" customHeight="1" x14ac:dyDescent="0.35">
      <c r="A6" s="12" t="s">
        <v>173</v>
      </c>
      <c r="B6" s="8" t="s">
        <v>29</v>
      </c>
      <c r="C6" s="33"/>
      <c r="D6" t="s">
        <v>127</v>
      </c>
      <c r="E6" s="1" t="str">
        <f>IF(C6="","",_xlfn.XLOOKUP(C6,prog[choice],prog[score])*F6)</f>
        <v/>
      </c>
      <c r="F6">
        <v>1</v>
      </c>
      <c r="J6" t="str">
        <f t="shared" si="1"/>
        <v>q12c</v>
      </c>
      <c r="L6" t="b">
        <f t="shared" si="2"/>
        <v>0</v>
      </c>
      <c r="N6" s="27" t="s">
        <v>296</v>
      </c>
      <c r="O6" s="4"/>
    </row>
    <row r="7" spans="1:15" ht="23.25" customHeight="1" x14ac:dyDescent="0.35">
      <c r="A7" s="12" t="s">
        <v>174</v>
      </c>
      <c r="B7" s="8" t="s">
        <v>30</v>
      </c>
      <c r="C7" s="33"/>
      <c r="D7" t="s">
        <v>127</v>
      </c>
      <c r="E7" s="1" t="str">
        <f>IF(C7="","",_xlfn.XLOOKUP(C7,prog[choice],prog[score])*F7)</f>
        <v/>
      </c>
      <c r="F7">
        <v>1</v>
      </c>
      <c r="J7" t="str">
        <f t="shared" si="1"/>
        <v>q12d</v>
      </c>
      <c r="L7" t="b">
        <f t="shared" si="2"/>
        <v>0</v>
      </c>
      <c r="N7" s="48"/>
      <c r="O7" s="4"/>
    </row>
    <row r="8" spans="1:15" ht="54" customHeight="1" x14ac:dyDescent="0.35">
      <c r="A8" s="12" t="s">
        <v>175</v>
      </c>
      <c r="B8" s="8" t="s">
        <v>31</v>
      </c>
      <c r="C8" s="33"/>
      <c r="D8" t="s">
        <v>127</v>
      </c>
      <c r="E8" s="1" t="str">
        <f>IF(C8="","",_xlfn.XLOOKUP(C8,prog[choice],prog[score])*F8)</f>
        <v/>
      </c>
      <c r="F8">
        <v>0.5</v>
      </c>
      <c r="J8" t="str">
        <f t="shared" si="1"/>
        <v>q12e</v>
      </c>
      <c r="L8" t="b">
        <f t="shared" si="2"/>
        <v>0</v>
      </c>
      <c r="N8" s="27" t="s">
        <v>297</v>
      </c>
      <c r="O8" s="4"/>
    </row>
    <row r="9" spans="1:15" ht="49.5" customHeight="1" x14ac:dyDescent="0.35">
      <c r="A9" s="12" t="s">
        <v>176</v>
      </c>
      <c r="B9" s="8" t="s">
        <v>32</v>
      </c>
      <c r="C9" s="33"/>
      <c r="D9" t="s">
        <v>127</v>
      </c>
      <c r="E9" s="1" t="str">
        <f>IF(C9="","",_xlfn.XLOOKUP(C9,prog[choice],prog[score])*F9)</f>
        <v/>
      </c>
      <c r="F9">
        <v>0.5</v>
      </c>
      <c r="J9" t="str">
        <f t="shared" si="1"/>
        <v>q12f</v>
      </c>
      <c r="L9" t="b">
        <f t="shared" si="2"/>
        <v>0</v>
      </c>
      <c r="N9" s="27" t="s">
        <v>269</v>
      </c>
      <c r="O9" s="4"/>
    </row>
    <row r="10" spans="1:15" ht="24.75" customHeight="1" x14ac:dyDescent="0.35">
      <c r="A10" s="12" t="s">
        <v>177</v>
      </c>
      <c r="B10" s="8" t="s">
        <v>33</v>
      </c>
      <c r="C10" s="33"/>
      <c r="D10" t="s">
        <v>127</v>
      </c>
      <c r="E10" s="1" t="str">
        <f>IF(C10="","",_xlfn.XLOOKUP(C10,prog[choice],prog[score])*F10)</f>
        <v/>
      </c>
      <c r="F10">
        <v>0.5</v>
      </c>
      <c r="J10" t="str">
        <f t="shared" si="1"/>
        <v>q12g</v>
      </c>
      <c r="L10" t="b">
        <f t="shared" si="2"/>
        <v>0</v>
      </c>
      <c r="N10" s="4"/>
      <c r="O10" s="4"/>
    </row>
    <row r="11" spans="1:15" ht="91.5" customHeight="1" x14ac:dyDescent="0.35">
      <c r="A11" s="12" t="s">
        <v>178</v>
      </c>
      <c r="B11" s="8" t="s">
        <v>279</v>
      </c>
      <c r="C11" s="33"/>
      <c r="D11" t="s">
        <v>127</v>
      </c>
      <c r="E11" s="1" t="str">
        <f>IF(C11="","",_xlfn.XLOOKUP(C11,prog[choice],prog[score])*F11)</f>
        <v/>
      </c>
      <c r="F11">
        <v>0.5</v>
      </c>
      <c r="J11" t="str">
        <f t="shared" si="1"/>
        <v>q12h</v>
      </c>
      <c r="L11" t="b">
        <f t="shared" si="2"/>
        <v>0</v>
      </c>
      <c r="N11" s="27" t="s">
        <v>268</v>
      </c>
      <c r="O11" s="4"/>
    </row>
    <row r="12" spans="1:15" ht="49" customHeight="1" x14ac:dyDescent="0.35">
      <c r="A12" s="12" t="s">
        <v>1</v>
      </c>
      <c r="B12" s="8" t="s">
        <v>34</v>
      </c>
      <c r="C12" s="33"/>
      <c r="D12" t="s">
        <v>128</v>
      </c>
      <c r="G12" t="str">
        <f>IF(C12="","",_xlfn.XLOOKUP(C12,YPN[choice],YPN[combo num]))</f>
        <v/>
      </c>
      <c r="L12" t="b">
        <f t="shared" si="2"/>
        <v>0</v>
      </c>
      <c r="N12" s="27" t="s">
        <v>300</v>
      </c>
      <c r="O12" s="4"/>
    </row>
    <row r="13" spans="1:15" ht="41.25" customHeight="1" x14ac:dyDescent="0.35">
      <c r="A13" s="12" t="s">
        <v>2</v>
      </c>
      <c r="B13" s="8" t="s">
        <v>35</v>
      </c>
      <c r="C13" s="33"/>
      <c r="D13" t="s">
        <v>129</v>
      </c>
      <c r="G13" t="str">
        <f>IF($G$12=1,IF(C13="",0, _xlfn.XLOOKUP(C13,YN[choice],YN[combo num])),"")</f>
        <v/>
      </c>
      <c r="L13" t="b">
        <f t="shared" si="2"/>
        <v>0</v>
      </c>
      <c r="N13" s="27"/>
      <c r="O13" s="4"/>
    </row>
    <row r="14" spans="1:15" ht="41.25" customHeight="1" x14ac:dyDescent="0.35">
      <c r="A14" s="12" t="s">
        <v>3</v>
      </c>
      <c r="B14" s="8" t="s">
        <v>36</v>
      </c>
      <c r="C14" s="33"/>
      <c r="D14" t="s">
        <v>130</v>
      </c>
      <c r="F14">
        <v>2</v>
      </c>
      <c r="G14" t="str">
        <f>IF($G$12=1,IF(C14="",0, _xlfn.XLOOKUP(C14,multiq15[choice],multiq15[combo num])),"")</f>
        <v/>
      </c>
      <c r="H14" s="1" t="str">
        <f>_xlfn.LET(
_xlpm.notacombo,COUNTIF(G12:G14,0)&gt;0,
_xlpm.nocode,I14="",
IF(OR(_xlpm.notacombo,_xlpm.nocode),"",_xlfn.XLOOKUP(I14,q13_14_15combo[combo code],q13_14_15combo[score])*F14)
)</f>
        <v/>
      </c>
      <c r="I14" t="str">
        <f>_xlfn.TEXTJOIN("",FALSE,G12,G13,G14)</f>
        <v/>
      </c>
      <c r="J14" t="str">
        <f>IF(AND(H14="",G12=""),TRIM(A12),IF(COUNTIF(G13:G14,0),"q14-15"))</f>
        <v>q13</v>
      </c>
      <c r="L14" t="b">
        <f>IF(ISNA(H14),SUBSTITUTE(TRIM(A14),"—",""))</f>
        <v>0</v>
      </c>
      <c r="N14" s="27"/>
      <c r="O14" s="4"/>
    </row>
    <row r="15" spans="1:15" ht="61" customHeight="1" x14ac:dyDescent="0.35">
      <c r="A15" s="12" t="s">
        <v>4</v>
      </c>
      <c r="B15" s="8" t="s">
        <v>37</v>
      </c>
      <c r="C15" s="34"/>
      <c r="L15" t="b">
        <f t="shared" si="2"/>
        <v>0</v>
      </c>
      <c r="N15" s="27" t="s">
        <v>301</v>
      </c>
      <c r="O15" s="4"/>
    </row>
    <row r="16" spans="1:15" ht="39.75" customHeight="1" x14ac:dyDescent="0.35">
      <c r="A16" s="12" t="s">
        <v>179</v>
      </c>
      <c r="B16" s="8" t="s">
        <v>38</v>
      </c>
      <c r="C16" s="35" t="b">
        <v>0</v>
      </c>
      <c r="D16" t="s">
        <v>155</v>
      </c>
      <c r="G16">
        <f>IF(C16,1,0)</f>
        <v>0</v>
      </c>
      <c r="L16" t="b">
        <f t="shared" si="2"/>
        <v>0</v>
      </c>
      <c r="N16" s="27"/>
      <c r="O16" s="4"/>
    </row>
    <row r="17" spans="1:15" ht="38.25" customHeight="1" x14ac:dyDescent="0.35">
      <c r="A17" s="12" t="s">
        <v>180</v>
      </c>
      <c r="B17" s="8" t="s">
        <v>39</v>
      </c>
      <c r="C17" s="35" t="b">
        <v>0</v>
      </c>
      <c r="D17" t="s">
        <v>155</v>
      </c>
      <c r="G17">
        <f>IF($C$16,0,IF(C17,2,0))</f>
        <v>0</v>
      </c>
      <c r="L17" t="b">
        <f t="shared" si="2"/>
        <v>0</v>
      </c>
      <c r="N17" s="27"/>
      <c r="O17" s="4"/>
    </row>
    <row r="18" spans="1:15" ht="38.25" customHeight="1" x14ac:dyDescent="0.35">
      <c r="A18" s="12" t="s">
        <v>181</v>
      </c>
      <c r="B18" s="8" t="s">
        <v>40</v>
      </c>
      <c r="C18" s="35" t="b">
        <v>0</v>
      </c>
      <c r="D18" t="s">
        <v>155</v>
      </c>
      <c r="G18">
        <f>IF($C$16,0,IF(C18,3,0))</f>
        <v>0</v>
      </c>
      <c r="L18" t="b">
        <f t="shared" si="2"/>
        <v>0</v>
      </c>
      <c r="N18" s="27"/>
      <c r="O18" s="4"/>
    </row>
    <row r="19" spans="1:15" ht="25.5" customHeight="1" x14ac:dyDescent="0.35">
      <c r="A19" s="12" t="s">
        <v>182</v>
      </c>
      <c r="B19" s="8" t="s">
        <v>41</v>
      </c>
      <c r="C19" s="35" t="b">
        <v>0</v>
      </c>
      <c r="D19" t="s">
        <v>155</v>
      </c>
      <c r="G19">
        <f>IF(C19,4,0)</f>
        <v>0</v>
      </c>
      <c r="L19" t="b">
        <f t="shared" si="2"/>
        <v>0</v>
      </c>
      <c r="N19" s="27"/>
      <c r="O19" s="4"/>
    </row>
    <row r="20" spans="1:15" ht="39.75" customHeight="1" x14ac:dyDescent="0.35">
      <c r="A20" s="12" t="s">
        <v>5</v>
      </c>
      <c r="B20" s="8" t="s">
        <v>42</v>
      </c>
      <c r="C20" s="33"/>
      <c r="D20" t="s">
        <v>129</v>
      </c>
      <c r="F20">
        <v>2</v>
      </c>
      <c r="G20" t="str">
        <f>IF(OR(C20="",G19=4),"",_xlfn.XLOOKUP(C20,YN[choice],YN[combo num]))</f>
        <v/>
      </c>
      <c r="H20" s="1" t="str">
        <f>IF(COUNTIF(q16_17combo[combo code],I20)&gt;0,_xlfn.XLOOKUP(I20,q16_17combo[combo code],q16_17combo[score])*F20,"")</f>
        <v/>
      </c>
      <c r="I20" t="str">
        <f>_xlfn.CONCAT(G16:G20)</f>
        <v>0000</v>
      </c>
      <c r="L20" t="str">
        <f>IF(OR(ISNA(H20),H20=""),"q16-17")</f>
        <v>q16-17</v>
      </c>
      <c r="N20" s="27"/>
      <c r="O20" s="4"/>
    </row>
    <row r="21" spans="1:15" ht="65.150000000000006" customHeight="1" x14ac:dyDescent="0.35">
      <c r="A21" s="12" t="s">
        <v>6</v>
      </c>
      <c r="B21" s="8" t="s">
        <v>157</v>
      </c>
      <c r="C21" s="33"/>
      <c r="D21" t="s">
        <v>129</v>
      </c>
      <c r="G21">
        <f>IF(C21="",0,_xlfn.XLOOKUP(C21,YN[choice],YN[combo num]))</f>
        <v>0</v>
      </c>
      <c r="L21" t="b">
        <f t="shared" si="2"/>
        <v>0</v>
      </c>
      <c r="N21" s="27" t="s">
        <v>302</v>
      </c>
      <c r="O21" s="4"/>
    </row>
    <row r="22" spans="1:15" ht="25.5" customHeight="1" x14ac:dyDescent="0.35">
      <c r="A22" s="12" t="s">
        <v>7</v>
      </c>
      <c r="B22" s="8" t="s">
        <v>43</v>
      </c>
      <c r="C22" s="34"/>
      <c r="L22" t="b">
        <f t="shared" si="2"/>
        <v>0</v>
      </c>
      <c r="N22" s="4"/>
      <c r="O22" s="4"/>
    </row>
    <row r="23" spans="1:15" ht="23.25" customHeight="1" x14ac:dyDescent="0.35">
      <c r="A23" s="12" t="s">
        <v>183</v>
      </c>
      <c r="B23" s="8" t="s">
        <v>44</v>
      </c>
      <c r="C23" s="36" t="b">
        <v>0</v>
      </c>
      <c r="D23" t="s">
        <v>155</v>
      </c>
      <c r="G23">
        <f>IF(G21=2,0,IF(C23,1,0))</f>
        <v>0</v>
      </c>
      <c r="L23" t="b">
        <f t="shared" si="2"/>
        <v>0</v>
      </c>
      <c r="N23" s="4"/>
      <c r="O23" s="4"/>
    </row>
    <row r="24" spans="1:15" ht="23.25" customHeight="1" x14ac:dyDescent="0.35">
      <c r="A24" s="12" t="s">
        <v>184</v>
      </c>
      <c r="B24" s="8" t="s">
        <v>45</v>
      </c>
      <c r="C24" s="36" t="b">
        <v>0</v>
      </c>
      <c r="D24" t="s">
        <v>155</v>
      </c>
      <c r="G24">
        <f>IF(G21=2,0,IF(C24,2,0))</f>
        <v>0</v>
      </c>
      <c r="L24" t="b">
        <f t="shared" si="2"/>
        <v>0</v>
      </c>
      <c r="N24" s="4"/>
      <c r="O24" s="4"/>
    </row>
    <row r="25" spans="1:15" ht="23.25" customHeight="1" x14ac:dyDescent="0.35">
      <c r="A25" s="12" t="s">
        <v>185</v>
      </c>
      <c r="B25" s="8" t="s">
        <v>46</v>
      </c>
      <c r="C25" s="36" t="b">
        <v>0</v>
      </c>
      <c r="D25" t="s">
        <v>155</v>
      </c>
      <c r="G25">
        <f>IF(G21=2,0,IF(C25,3,0))</f>
        <v>0</v>
      </c>
      <c r="H25"/>
      <c r="L25" t="b">
        <f t="shared" si="2"/>
        <v>0</v>
      </c>
      <c r="N25" s="4"/>
      <c r="O25" s="4"/>
    </row>
    <row r="26" spans="1:15" ht="37.5" customHeight="1" x14ac:dyDescent="0.35">
      <c r="A26" s="12" t="s">
        <v>8</v>
      </c>
      <c r="B26" s="8" t="s">
        <v>47</v>
      </c>
      <c r="C26" s="33"/>
      <c r="D26" t="s">
        <v>129</v>
      </c>
      <c r="F26">
        <v>2</v>
      </c>
      <c r="G26">
        <f>IF(OR(C26="",G21=2),0,_xlfn.XLOOKUP(C26,YN[choice],YN[combo num]))</f>
        <v>0</v>
      </c>
      <c r="H26" s="1" t="str">
        <f>IF(COUNTIF(q18_21combo[combo code],I26)=0,"",_xlfn.XLOOKUP(I26,q18_21combo[combo code],q18_21combo[score])*F26)</f>
        <v/>
      </c>
      <c r="I26" t="str">
        <f>_xlfn.CONCAT(G21,G23:G26)</f>
        <v>00000</v>
      </c>
      <c r="J26" t="str">
        <f>IF(H26="","q18-21")</f>
        <v>q18-21</v>
      </c>
      <c r="L26" t="str">
        <f>IF(OR(H26="",ISNA(H26)),"q18-21")</f>
        <v>q18-21</v>
      </c>
      <c r="N26" s="4"/>
      <c r="O26" s="4"/>
    </row>
    <row r="27" spans="1:15" ht="78" customHeight="1" x14ac:dyDescent="0.35">
      <c r="A27" s="12" t="s">
        <v>9</v>
      </c>
      <c r="B27" s="8" t="s">
        <v>48</v>
      </c>
      <c r="C27" s="37"/>
      <c r="D27" t="s">
        <v>131</v>
      </c>
      <c r="E27" s="1" t="str">
        <f>IF(C27="","",_xlfn.XLOOKUP(C27,multiq22[choice],multiq22[score])*F27)</f>
        <v/>
      </c>
      <c r="F27">
        <v>1</v>
      </c>
      <c r="J27" t="str">
        <f>IF(C27="",TRIM(A27))</f>
        <v>q22</v>
      </c>
      <c r="L27" t="b">
        <f t="shared" si="2"/>
        <v>0</v>
      </c>
      <c r="N27" s="4"/>
      <c r="O27" s="4"/>
    </row>
    <row r="28" spans="1:15" ht="23.25" customHeight="1" x14ac:dyDescent="0.35">
      <c r="A28" s="12" t="s">
        <v>10</v>
      </c>
      <c r="B28" s="8" t="s">
        <v>49</v>
      </c>
      <c r="C28" s="34"/>
      <c r="L28" t="b">
        <f t="shared" si="2"/>
        <v>0</v>
      </c>
      <c r="N28" s="4"/>
      <c r="O28" s="4"/>
    </row>
    <row r="29" spans="1:15" ht="54.75" customHeight="1" x14ac:dyDescent="0.35">
      <c r="A29" s="12" t="s">
        <v>186</v>
      </c>
      <c r="B29" s="8" t="s">
        <v>50</v>
      </c>
      <c r="C29" s="37"/>
      <c r="D29" t="s">
        <v>132</v>
      </c>
      <c r="E29" s="1" t="str">
        <f>IF(C29="","",_xlfn.XLOOKUP(C29,standard[choice],standard[score])*F29)</f>
        <v/>
      </c>
      <c r="F29">
        <v>1</v>
      </c>
      <c r="J29" t="str">
        <f t="shared" ref="J29:J35" si="3">IF(E29="",SUBSTITUTE(TRIM(A29),"—",""))</f>
        <v>q23a</v>
      </c>
      <c r="L29" t="b">
        <f t="shared" si="2"/>
        <v>0</v>
      </c>
      <c r="N29" s="4"/>
      <c r="O29" s="4"/>
    </row>
    <row r="30" spans="1:15" ht="39.75" customHeight="1" x14ac:dyDescent="0.35">
      <c r="A30" s="12" t="s">
        <v>187</v>
      </c>
      <c r="B30" s="8" t="s">
        <v>51</v>
      </c>
      <c r="C30" s="37"/>
      <c r="D30" t="s">
        <v>132</v>
      </c>
      <c r="E30" s="1" t="str">
        <f>IF(C30="","",_xlfn.XLOOKUP(C30,standard[choice],standard[score])*F30)</f>
        <v/>
      </c>
      <c r="F30">
        <v>1</v>
      </c>
      <c r="J30" t="str">
        <f t="shared" si="3"/>
        <v>q23b</v>
      </c>
      <c r="L30" t="b">
        <f t="shared" si="2"/>
        <v>0</v>
      </c>
      <c r="N30" s="4"/>
      <c r="O30" s="4"/>
    </row>
    <row r="31" spans="1:15" ht="57" customHeight="1" x14ac:dyDescent="0.35">
      <c r="A31" s="12" t="s">
        <v>188</v>
      </c>
      <c r="B31" s="8" t="s">
        <v>52</v>
      </c>
      <c r="C31" s="37"/>
      <c r="D31" t="s">
        <v>132</v>
      </c>
      <c r="E31" s="1" t="str">
        <f>IF(C31="","",_xlfn.XLOOKUP(C31,standard[choice],standard[score])*F31)</f>
        <v/>
      </c>
      <c r="F31">
        <v>1</v>
      </c>
      <c r="J31" t="str">
        <f t="shared" si="3"/>
        <v>q23c</v>
      </c>
      <c r="L31" t="b">
        <f t="shared" si="2"/>
        <v>0</v>
      </c>
      <c r="N31" s="4"/>
      <c r="O31" s="4"/>
    </row>
    <row r="32" spans="1:15" ht="41.25" customHeight="1" x14ac:dyDescent="0.35">
      <c r="A32" s="12" t="s">
        <v>189</v>
      </c>
      <c r="B32" s="8" t="s">
        <v>299</v>
      </c>
      <c r="C32" s="37"/>
      <c r="D32" t="s">
        <v>132</v>
      </c>
      <c r="E32" s="1" t="str">
        <f>IF(C32="","",_xlfn.XLOOKUP(C32,standard[choice],standard[score])*F32)</f>
        <v/>
      </c>
      <c r="F32">
        <v>1</v>
      </c>
      <c r="J32" t="str">
        <f t="shared" si="3"/>
        <v>q23d</v>
      </c>
      <c r="L32" t="b">
        <f t="shared" si="2"/>
        <v>0</v>
      </c>
      <c r="N32" s="4"/>
      <c r="O32" s="4"/>
    </row>
    <row r="33" spans="1:15" ht="39.75" customHeight="1" x14ac:dyDescent="0.35">
      <c r="A33" s="12" t="s">
        <v>190</v>
      </c>
      <c r="B33" s="8" t="s">
        <v>53</v>
      </c>
      <c r="C33" s="37"/>
      <c r="D33" t="s">
        <v>132</v>
      </c>
      <c r="E33" s="1" t="str">
        <f>IF(C33="","",_xlfn.XLOOKUP(C33,standard[choice],standard[score])*F33)</f>
        <v/>
      </c>
      <c r="F33">
        <v>1</v>
      </c>
      <c r="J33" t="str">
        <f t="shared" si="3"/>
        <v>q23e</v>
      </c>
      <c r="L33" t="b">
        <f t="shared" si="2"/>
        <v>0</v>
      </c>
      <c r="N33" s="4"/>
      <c r="O33" s="4"/>
    </row>
    <row r="34" spans="1:15" ht="45" customHeight="1" x14ac:dyDescent="0.35">
      <c r="A34" s="12" t="s">
        <v>191</v>
      </c>
      <c r="B34" s="8" t="s">
        <v>54</v>
      </c>
      <c r="C34" s="37"/>
      <c r="D34" t="s">
        <v>132</v>
      </c>
      <c r="E34" s="1" t="str">
        <f>IF(C34="","",_xlfn.XLOOKUP(C34,standard[choice],standard[score])*F34)</f>
        <v/>
      </c>
      <c r="F34">
        <v>1</v>
      </c>
      <c r="J34" t="str">
        <f t="shared" si="3"/>
        <v>q23f</v>
      </c>
      <c r="L34" t="b">
        <f t="shared" si="2"/>
        <v>0</v>
      </c>
      <c r="N34" s="4"/>
      <c r="O34" s="4"/>
    </row>
    <row r="35" spans="1:15" ht="59.25" customHeight="1" x14ac:dyDescent="0.35">
      <c r="A35" s="12" t="s">
        <v>192</v>
      </c>
      <c r="B35" s="8" t="s">
        <v>55</v>
      </c>
      <c r="C35" s="37"/>
      <c r="D35" t="s">
        <v>132</v>
      </c>
      <c r="E35" s="1" t="str">
        <f>IF(C35="","",_xlfn.XLOOKUP(C35,standard[choice],standard[score])*F35)</f>
        <v/>
      </c>
      <c r="F35">
        <v>1</v>
      </c>
      <c r="J35" t="str">
        <f t="shared" si="3"/>
        <v>q23g</v>
      </c>
      <c r="L35" t="b">
        <f t="shared" si="2"/>
        <v>0</v>
      </c>
      <c r="N35" s="4"/>
      <c r="O35" s="4"/>
    </row>
    <row r="36" spans="1:15" ht="57.75" customHeight="1" x14ac:dyDescent="0.35">
      <c r="A36" s="12" t="s">
        <v>11</v>
      </c>
      <c r="B36" s="8" t="s">
        <v>56</v>
      </c>
      <c r="C36" s="33"/>
      <c r="D36" t="s">
        <v>133</v>
      </c>
      <c r="G36">
        <f>IF(C36="",0,_xlfn.XLOOKUP(C36,multiq24[choice],multiq24[combo num]))</f>
        <v>0</v>
      </c>
      <c r="L36" t="b">
        <f t="shared" si="2"/>
        <v>0</v>
      </c>
      <c r="N36" s="4"/>
      <c r="O36" s="4"/>
    </row>
    <row r="37" spans="1:15" ht="29.25" customHeight="1" x14ac:dyDescent="0.35">
      <c r="A37" s="12" t="s">
        <v>12</v>
      </c>
      <c r="B37" s="8" t="s">
        <v>57</v>
      </c>
      <c r="C37" s="37"/>
      <c r="D37" t="s">
        <v>134</v>
      </c>
      <c r="F37">
        <v>1</v>
      </c>
      <c r="G37">
        <f>IF(OR(C37="",G36=3),0,_xlfn.XLOOKUP(C37,YNNA[choice],YNNA[combo num]))</f>
        <v>0</v>
      </c>
      <c r="H37" s="1" t="str">
        <f>IF(COUNTIF(q24_25combo[combo code],I37)=0,"",_xlfn.XLOOKUP(I37,q24_25combo[combo code],q24_25combo[score])*F37)</f>
        <v/>
      </c>
      <c r="I37" t="str">
        <f>_xlfn.CONCAT(G36:G37)</f>
        <v>00</v>
      </c>
      <c r="L37" t="str">
        <f>IF(OR(ISNA(H37),H37=""),"q24-25")</f>
        <v>q24-25</v>
      </c>
      <c r="N37" s="4"/>
      <c r="O37" s="4"/>
    </row>
    <row r="38" spans="1:15" ht="37.5" customHeight="1" x14ac:dyDescent="0.35">
      <c r="A38" s="12" t="s">
        <v>13</v>
      </c>
      <c r="B38" s="8" t="s">
        <v>58</v>
      </c>
      <c r="C38" s="34"/>
      <c r="L38" t="b">
        <f t="shared" si="2"/>
        <v>0</v>
      </c>
      <c r="N38" s="4"/>
      <c r="O38" s="4"/>
    </row>
    <row r="39" spans="1:15" ht="23.25" customHeight="1" x14ac:dyDescent="0.35">
      <c r="A39" s="12" t="s">
        <v>193</v>
      </c>
      <c r="B39" s="8" t="s">
        <v>59</v>
      </c>
      <c r="C39" s="33"/>
      <c r="D39" t="s">
        <v>132</v>
      </c>
      <c r="E39" s="1" t="str">
        <f>IF(C39="","",_xlfn.XLOOKUP(C39,standard[choice],standard[score])*F39)</f>
        <v/>
      </c>
      <c r="F39">
        <v>1</v>
      </c>
      <c r="J39" t="str">
        <f t="shared" ref="J39:J68" si="4">IF(E39="",SUBSTITUTE(TRIM(A39),"—",""))</f>
        <v>q26a</v>
      </c>
      <c r="L39" t="b">
        <f t="shared" si="2"/>
        <v>0</v>
      </c>
      <c r="N39" s="4"/>
      <c r="O39" s="4"/>
    </row>
    <row r="40" spans="1:15" ht="23.25" customHeight="1" x14ac:dyDescent="0.35">
      <c r="A40" s="12" t="s">
        <v>194</v>
      </c>
      <c r="B40" s="8" t="s">
        <v>60</v>
      </c>
      <c r="C40" s="33"/>
      <c r="D40" t="s">
        <v>132</v>
      </c>
      <c r="E40" s="1" t="str">
        <f>IF(C40="","",_xlfn.XLOOKUP(C40,standard[choice],standard[score])*F40)</f>
        <v/>
      </c>
      <c r="F40">
        <v>1</v>
      </c>
      <c r="J40" t="str">
        <f t="shared" si="4"/>
        <v>q26b</v>
      </c>
      <c r="L40" t="b">
        <f t="shared" si="2"/>
        <v>0</v>
      </c>
      <c r="N40" s="4"/>
      <c r="O40" s="4"/>
    </row>
    <row r="41" spans="1:15" ht="23.25" customHeight="1" x14ac:dyDescent="0.35">
      <c r="A41" s="12" t="s">
        <v>195</v>
      </c>
      <c r="B41" s="8" t="s">
        <v>61</v>
      </c>
      <c r="C41" s="33"/>
      <c r="D41" t="s">
        <v>132</v>
      </c>
      <c r="E41" s="1" t="str">
        <f>IF(C41="","",_xlfn.XLOOKUP(C41,standard[choice],standard[score])*F41)</f>
        <v/>
      </c>
      <c r="F41">
        <v>1</v>
      </c>
      <c r="J41" t="str">
        <f t="shared" si="4"/>
        <v>q26c</v>
      </c>
      <c r="L41" t="b">
        <f t="shared" si="2"/>
        <v>0</v>
      </c>
      <c r="N41" s="4"/>
      <c r="O41" s="4"/>
    </row>
    <row r="42" spans="1:15" ht="40.5" customHeight="1" x14ac:dyDescent="0.35">
      <c r="A42" s="12" t="s">
        <v>196</v>
      </c>
      <c r="B42" s="8" t="s">
        <v>62</v>
      </c>
      <c r="C42" s="33"/>
      <c r="D42" t="s">
        <v>132</v>
      </c>
      <c r="E42" s="1" t="str">
        <f>IF(C42="","",_xlfn.XLOOKUP(C42,standard[choice],standard[score])*F42)</f>
        <v/>
      </c>
      <c r="F42">
        <v>1</v>
      </c>
      <c r="J42" t="str">
        <f t="shared" si="4"/>
        <v>q26d</v>
      </c>
      <c r="L42" t="b">
        <f t="shared" si="2"/>
        <v>0</v>
      </c>
      <c r="N42" s="4"/>
      <c r="O42" s="4"/>
    </row>
    <row r="43" spans="1:15" ht="25.5" customHeight="1" x14ac:dyDescent="0.35">
      <c r="A43" s="12" t="s">
        <v>197</v>
      </c>
      <c r="B43" s="8" t="s">
        <v>63</v>
      </c>
      <c r="C43" s="33"/>
      <c r="D43" t="s">
        <v>132</v>
      </c>
      <c r="E43" s="1" t="str">
        <f>IF(C43="","",_xlfn.XLOOKUP(C43,standard[choice],standard[score])*F43)</f>
        <v/>
      </c>
      <c r="F43">
        <v>1</v>
      </c>
      <c r="J43" t="str">
        <f t="shared" si="4"/>
        <v>q26e</v>
      </c>
      <c r="L43" t="b">
        <f t="shared" si="2"/>
        <v>0</v>
      </c>
      <c r="N43" s="4"/>
      <c r="O43" s="4"/>
    </row>
    <row r="44" spans="1:15" ht="42" customHeight="1" x14ac:dyDescent="0.35">
      <c r="A44" s="12" t="s">
        <v>198</v>
      </c>
      <c r="B44" s="8" t="s">
        <v>64</v>
      </c>
      <c r="C44" s="33"/>
      <c r="D44" t="s">
        <v>132</v>
      </c>
      <c r="E44" s="1" t="str">
        <f>IF(C44="","",_xlfn.XLOOKUP(C44,standard[choice],standard[score])*F44)</f>
        <v/>
      </c>
      <c r="F44">
        <v>1</v>
      </c>
      <c r="J44" t="str">
        <f t="shared" si="4"/>
        <v>q26f</v>
      </c>
      <c r="L44" t="b">
        <f t="shared" si="2"/>
        <v>0</v>
      </c>
      <c r="N44" s="4"/>
      <c r="O44" s="4"/>
    </row>
    <row r="45" spans="1:15" ht="42" customHeight="1" x14ac:dyDescent="0.35">
      <c r="A45" s="12" t="s">
        <v>199</v>
      </c>
      <c r="B45" s="8" t="s">
        <v>65</v>
      </c>
      <c r="C45" s="33"/>
      <c r="D45" t="s">
        <v>132</v>
      </c>
      <c r="E45" s="1" t="str">
        <f>IF(C45="","",_xlfn.XLOOKUP(C45,standard[choice],standard[score])*F45)</f>
        <v/>
      </c>
      <c r="F45">
        <v>1</v>
      </c>
      <c r="J45" t="str">
        <f t="shared" si="4"/>
        <v>q26g</v>
      </c>
      <c r="L45" t="b">
        <f t="shared" si="2"/>
        <v>0</v>
      </c>
      <c r="N45" s="4"/>
      <c r="O45" s="4"/>
    </row>
    <row r="46" spans="1:15" ht="36" customHeight="1" x14ac:dyDescent="0.35">
      <c r="A46" s="12" t="s">
        <v>200</v>
      </c>
      <c r="B46" s="8" t="s">
        <v>66</v>
      </c>
      <c r="C46" s="33"/>
      <c r="D46" t="s">
        <v>132</v>
      </c>
      <c r="E46" s="1" t="str">
        <f>IF(C46="","",_xlfn.XLOOKUP(C46,standard[choice],standard[score])*F46)</f>
        <v/>
      </c>
      <c r="F46">
        <v>1</v>
      </c>
      <c r="J46" t="str">
        <f t="shared" si="4"/>
        <v>q26h</v>
      </c>
      <c r="L46" t="b">
        <f t="shared" si="2"/>
        <v>0</v>
      </c>
      <c r="N46" s="4"/>
      <c r="O46" s="4"/>
    </row>
    <row r="47" spans="1:15" ht="63" customHeight="1" x14ac:dyDescent="0.35">
      <c r="A47" s="12" t="s">
        <v>201</v>
      </c>
      <c r="B47" s="8" t="s">
        <v>67</v>
      </c>
      <c r="C47" s="33"/>
      <c r="D47" t="s">
        <v>132</v>
      </c>
      <c r="E47" s="1" t="str">
        <f>IF(C47="","",_xlfn.XLOOKUP(C47,standard[choice],standard[score])*F47)</f>
        <v/>
      </c>
      <c r="F47">
        <v>1</v>
      </c>
      <c r="J47" t="str">
        <f t="shared" si="4"/>
        <v>q26i</v>
      </c>
      <c r="L47" t="b">
        <f t="shared" si="2"/>
        <v>0</v>
      </c>
      <c r="N47" s="4"/>
      <c r="O47" s="4"/>
    </row>
    <row r="48" spans="1:15" ht="30.75" customHeight="1" x14ac:dyDescent="0.35">
      <c r="A48" s="44" t="s">
        <v>285</v>
      </c>
      <c r="B48" s="23"/>
      <c r="C48" s="38"/>
      <c r="D48" s="45"/>
      <c r="E48" s="46"/>
      <c r="F48" s="45"/>
      <c r="G48" s="45"/>
      <c r="H48" s="46"/>
      <c r="I48" s="45"/>
      <c r="J48" s="45"/>
      <c r="K48" s="45"/>
      <c r="L48" s="45" t="b">
        <f t="shared" si="2"/>
        <v>0</v>
      </c>
      <c r="M48" s="45"/>
      <c r="N48" s="45"/>
      <c r="O48" s="4"/>
    </row>
    <row r="49" spans="1:15" ht="64" customHeight="1" x14ac:dyDescent="0.35">
      <c r="A49" s="12" t="s">
        <v>14</v>
      </c>
      <c r="B49" s="8" t="s">
        <v>68</v>
      </c>
      <c r="C49" s="34"/>
      <c r="L49" t="b">
        <f t="shared" si="2"/>
        <v>0</v>
      </c>
      <c r="N49" s="27" t="s">
        <v>303</v>
      </c>
      <c r="O49" s="4"/>
    </row>
    <row r="50" spans="1:15" ht="87" customHeight="1" x14ac:dyDescent="0.35">
      <c r="A50" s="12" t="s">
        <v>202</v>
      </c>
      <c r="B50" s="8" t="s">
        <v>69</v>
      </c>
      <c r="C50" s="33"/>
      <c r="D50" t="s">
        <v>132</v>
      </c>
      <c r="E50" s="1" t="str">
        <f>IF(C50="","",_xlfn.XLOOKUP(C50,standard[choice],standard[score])*F50)</f>
        <v/>
      </c>
      <c r="F50">
        <v>1</v>
      </c>
      <c r="J50" t="str">
        <f t="shared" si="4"/>
        <v>q28a</v>
      </c>
      <c r="L50" t="b">
        <f t="shared" si="2"/>
        <v>0</v>
      </c>
      <c r="N50" s="27"/>
      <c r="O50" s="4"/>
    </row>
    <row r="51" spans="1:15" ht="90.75" customHeight="1" x14ac:dyDescent="0.35">
      <c r="A51" s="12" t="s">
        <v>203</v>
      </c>
      <c r="B51" s="8" t="s">
        <v>70</v>
      </c>
      <c r="C51" s="33"/>
      <c r="D51" t="s">
        <v>132</v>
      </c>
      <c r="E51" s="1" t="str">
        <f>IF(C51="","",_xlfn.XLOOKUP(C51,standard[choice],standard[score])*F51)</f>
        <v/>
      </c>
      <c r="F51">
        <v>1</v>
      </c>
      <c r="J51" t="str">
        <f t="shared" si="4"/>
        <v>q28b</v>
      </c>
      <c r="L51" t="b">
        <f t="shared" si="2"/>
        <v>0</v>
      </c>
      <c r="N51" s="27"/>
      <c r="O51" s="4"/>
    </row>
    <row r="52" spans="1:15" ht="79.5" customHeight="1" x14ac:dyDescent="0.35">
      <c r="A52" s="12" t="s">
        <v>204</v>
      </c>
      <c r="B52" s="8" t="s">
        <v>71</v>
      </c>
      <c r="C52" s="33"/>
      <c r="D52" t="s">
        <v>132</v>
      </c>
      <c r="E52" s="1" t="str">
        <f>IF(C52="","",_xlfn.XLOOKUP(C52,standard[choice],standard[score])*F52)</f>
        <v/>
      </c>
      <c r="F52">
        <v>1</v>
      </c>
      <c r="J52" t="str">
        <f t="shared" si="4"/>
        <v>q28c</v>
      </c>
      <c r="L52" t="b">
        <f t="shared" si="2"/>
        <v>0</v>
      </c>
      <c r="N52" s="27" t="s">
        <v>303</v>
      </c>
      <c r="O52" s="4"/>
    </row>
    <row r="53" spans="1:15" ht="60.75" customHeight="1" x14ac:dyDescent="0.35">
      <c r="A53" s="12" t="s">
        <v>205</v>
      </c>
      <c r="B53" s="8" t="s">
        <v>72</v>
      </c>
      <c r="C53" s="33"/>
      <c r="D53" t="s">
        <v>132</v>
      </c>
      <c r="E53" s="1" t="str">
        <f>IF(C53="","",_xlfn.XLOOKUP(C53,standard[choice],standard[score])*F53)</f>
        <v/>
      </c>
      <c r="F53">
        <v>1</v>
      </c>
      <c r="J53" t="str">
        <f t="shared" si="4"/>
        <v>q28d</v>
      </c>
      <c r="L53" t="b">
        <f t="shared" si="2"/>
        <v>0</v>
      </c>
      <c r="N53" s="4"/>
      <c r="O53" s="4"/>
    </row>
    <row r="54" spans="1:15" ht="42" customHeight="1" x14ac:dyDescent="0.35">
      <c r="A54" s="12" t="s">
        <v>15</v>
      </c>
      <c r="B54" s="8" t="s">
        <v>73</v>
      </c>
      <c r="C54" s="34"/>
      <c r="L54" t="b">
        <f t="shared" si="2"/>
        <v>0</v>
      </c>
      <c r="N54" s="4"/>
      <c r="O54" s="4"/>
    </row>
    <row r="55" spans="1:15" ht="27" customHeight="1" x14ac:dyDescent="0.35">
      <c r="A55" s="12" t="s">
        <v>206</v>
      </c>
      <c r="B55" s="8" t="s">
        <v>74</v>
      </c>
      <c r="C55" s="33"/>
      <c r="D55" t="s">
        <v>132</v>
      </c>
      <c r="E55" s="1" t="str">
        <f>IF(C55="","",_xlfn.XLOOKUP(C55,standard[choice],standard[score])*F55)</f>
        <v/>
      </c>
      <c r="F55">
        <v>1</v>
      </c>
      <c r="J55" t="str">
        <f t="shared" si="4"/>
        <v>q29a</v>
      </c>
      <c r="L55" t="b">
        <f t="shared" si="2"/>
        <v>0</v>
      </c>
      <c r="N55" s="4"/>
      <c r="O55" s="4"/>
    </row>
    <row r="56" spans="1:15" ht="26.25" customHeight="1" x14ac:dyDescent="0.35">
      <c r="A56" s="12" t="s">
        <v>207</v>
      </c>
      <c r="B56" s="8" t="s">
        <v>75</v>
      </c>
      <c r="C56" s="33"/>
      <c r="D56" t="s">
        <v>132</v>
      </c>
      <c r="E56" s="1" t="str">
        <f>IF(C56="","",_xlfn.XLOOKUP(C56,standard[choice],standard[score])*F56)</f>
        <v/>
      </c>
      <c r="F56">
        <v>1</v>
      </c>
      <c r="J56" t="str">
        <f t="shared" si="4"/>
        <v>q29b</v>
      </c>
      <c r="L56" t="b">
        <f t="shared" si="2"/>
        <v>0</v>
      </c>
      <c r="N56" s="4"/>
      <c r="O56" s="4"/>
    </row>
    <row r="57" spans="1:15" ht="78.75" customHeight="1" x14ac:dyDescent="0.35">
      <c r="A57" s="12" t="s">
        <v>208</v>
      </c>
      <c r="B57" s="8" t="s">
        <v>76</v>
      </c>
      <c r="C57" s="33"/>
      <c r="D57" t="s">
        <v>132</v>
      </c>
      <c r="E57" s="1" t="str">
        <f>IF(C57="","",_xlfn.XLOOKUP(C57,standard[choice],standard[score])*F57)</f>
        <v/>
      </c>
      <c r="F57">
        <v>1</v>
      </c>
      <c r="J57" t="str">
        <f t="shared" si="4"/>
        <v>q29c</v>
      </c>
      <c r="L57" t="b">
        <f t="shared" si="2"/>
        <v>0</v>
      </c>
      <c r="N57" s="4"/>
      <c r="O57" s="4"/>
    </row>
    <row r="58" spans="1:15" ht="58.5" customHeight="1" x14ac:dyDescent="0.35">
      <c r="A58" s="12" t="s">
        <v>209</v>
      </c>
      <c r="B58" s="8" t="s">
        <v>77</v>
      </c>
      <c r="C58" s="33"/>
      <c r="D58" t="s">
        <v>132</v>
      </c>
      <c r="E58" s="1" t="str">
        <f>IF(C58="","",_xlfn.XLOOKUP(C58,standard[choice],standard[score])*F58)</f>
        <v/>
      </c>
      <c r="F58">
        <v>1</v>
      </c>
      <c r="J58" t="str">
        <f t="shared" si="4"/>
        <v>q29d</v>
      </c>
      <c r="L58" t="b">
        <f t="shared" si="2"/>
        <v>0</v>
      </c>
      <c r="N58" s="4"/>
      <c r="O58" s="4"/>
    </row>
    <row r="59" spans="1:15" ht="30.75" customHeight="1" x14ac:dyDescent="0.35">
      <c r="A59" s="44" t="s">
        <v>286</v>
      </c>
      <c r="B59" s="24"/>
      <c r="C59" s="39"/>
      <c r="D59" s="45"/>
      <c r="E59" s="46"/>
      <c r="F59" s="45"/>
      <c r="G59" s="45"/>
      <c r="H59" s="46"/>
      <c r="I59" s="45"/>
      <c r="J59" s="45"/>
      <c r="K59" s="45"/>
      <c r="L59" s="45" t="b">
        <f t="shared" si="2"/>
        <v>0</v>
      </c>
      <c r="M59" s="45"/>
      <c r="N59" s="45"/>
      <c r="O59" s="4"/>
    </row>
    <row r="60" spans="1:15" ht="64.5" customHeight="1" x14ac:dyDescent="0.35">
      <c r="A60" s="12" t="s">
        <v>16</v>
      </c>
      <c r="B60" s="8" t="s">
        <v>78</v>
      </c>
      <c r="C60" s="34"/>
      <c r="L60" t="b">
        <f t="shared" si="2"/>
        <v>0</v>
      </c>
      <c r="N60" s="27" t="s">
        <v>304</v>
      </c>
      <c r="O60" s="4"/>
    </row>
    <row r="61" spans="1:15" ht="91.5" customHeight="1" x14ac:dyDescent="0.35">
      <c r="A61" s="12" t="s">
        <v>210</v>
      </c>
      <c r="B61" s="8" t="s">
        <v>79</v>
      </c>
      <c r="C61" s="33"/>
      <c r="D61" t="s">
        <v>132</v>
      </c>
      <c r="E61" s="1" t="str">
        <f>IF(C61="","",_xlfn.XLOOKUP(C61,standard[choice],standard[score])*F61)</f>
        <v/>
      </c>
      <c r="F61">
        <v>1</v>
      </c>
      <c r="J61" t="str">
        <f t="shared" si="4"/>
        <v>q32a</v>
      </c>
      <c r="L61" t="b">
        <f t="shared" si="2"/>
        <v>0</v>
      </c>
      <c r="N61" s="27"/>
      <c r="O61" s="4"/>
    </row>
    <row r="62" spans="1:15" ht="97.5" customHeight="1" x14ac:dyDescent="0.35">
      <c r="A62" s="12" t="s">
        <v>211</v>
      </c>
      <c r="B62" s="8" t="s">
        <v>80</v>
      </c>
      <c r="C62" s="33"/>
      <c r="D62" t="s">
        <v>132</v>
      </c>
      <c r="E62" s="1" t="str">
        <f>IF(C62="","",_xlfn.XLOOKUP(C62,standard[choice],standard[score])*F62)</f>
        <v/>
      </c>
      <c r="F62">
        <v>1</v>
      </c>
      <c r="J62" t="str">
        <f t="shared" si="4"/>
        <v>q32b</v>
      </c>
      <c r="L62" t="b">
        <f t="shared" si="2"/>
        <v>0</v>
      </c>
      <c r="N62" s="27" t="s">
        <v>305</v>
      </c>
      <c r="O62" s="4"/>
    </row>
    <row r="63" spans="1:15" ht="79.5" customHeight="1" x14ac:dyDescent="0.35">
      <c r="A63" s="12" t="s">
        <v>212</v>
      </c>
      <c r="B63" s="8" t="s">
        <v>81</v>
      </c>
      <c r="C63" s="33"/>
      <c r="D63" t="s">
        <v>132</v>
      </c>
      <c r="E63" s="1" t="str">
        <f>IF(C63="","",_xlfn.XLOOKUP(C63,standard[choice],standard[score])*F63)</f>
        <v/>
      </c>
      <c r="F63">
        <v>1</v>
      </c>
      <c r="J63" t="str">
        <f t="shared" si="4"/>
        <v>q32c</v>
      </c>
      <c r="L63" t="b">
        <f t="shared" si="2"/>
        <v>0</v>
      </c>
      <c r="N63" s="4"/>
      <c r="O63" s="4"/>
    </row>
    <row r="64" spans="1:15" ht="26.25" customHeight="1" x14ac:dyDescent="0.35">
      <c r="A64" s="12" t="s">
        <v>213</v>
      </c>
      <c r="B64" s="8" t="s">
        <v>82</v>
      </c>
      <c r="C64" s="33"/>
      <c r="D64" t="s">
        <v>132</v>
      </c>
      <c r="E64" s="1" t="str">
        <f>IF(C64="","",_xlfn.XLOOKUP(C64,standard[choice],standard[score])*F64)</f>
        <v/>
      </c>
      <c r="F64">
        <v>1</v>
      </c>
      <c r="J64" t="str">
        <f t="shared" si="4"/>
        <v>q32d</v>
      </c>
      <c r="L64" t="b">
        <f t="shared" si="2"/>
        <v>0</v>
      </c>
      <c r="N64" s="4"/>
      <c r="O64" s="4"/>
    </row>
    <row r="65" spans="1:15" ht="43.5" customHeight="1" x14ac:dyDescent="0.35">
      <c r="A65" s="12" t="s">
        <v>214</v>
      </c>
      <c r="B65" s="8" t="s">
        <v>83</v>
      </c>
      <c r="C65" s="33"/>
      <c r="D65" t="s">
        <v>132</v>
      </c>
      <c r="E65" s="1" t="str">
        <f>IF(C65="","",_xlfn.XLOOKUP(C65,standard[choice],standard[score])*F65)</f>
        <v/>
      </c>
      <c r="F65">
        <v>1</v>
      </c>
      <c r="J65" t="str">
        <f t="shared" si="4"/>
        <v>q32e</v>
      </c>
      <c r="L65" t="b">
        <f t="shared" si="2"/>
        <v>0</v>
      </c>
      <c r="N65" s="4"/>
      <c r="O65" s="4"/>
    </row>
    <row r="66" spans="1:15" ht="29.25" customHeight="1" x14ac:dyDescent="0.35">
      <c r="A66" s="12" t="s">
        <v>215</v>
      </c>
      <c r="B66" s="8" t="s">
        <v>84</v>
      </c>
      <c r="C66" s="33"/>
      <c r="D66" t="s">
        <v>132</v>
      </c>
      <c r="E66" s="1" t="str">
        <f>IF(C66="","",_xlfn.XLOOKUP(C66,standard[choice],standard[score])*F66)</f>
        <v/>
      </c>
      <c r="F66">
        <v>1</v>
      </c>
      <c r="J66" t="str">
        <f t="shared" si="4"/>
        <v>q32f</v>
      </c>
      <c r="L66" t="b">
        <f t="shared" si="2"/>
        <v>0</v>
      </c>
      <c r="N66" s="4"/>
      <c r="O66" s="4"/>
    </row>
    <row r="67" spans="1:15" ht="27" customHeight="1" x14ac:dyDescent="0.35">
      <c r="A67" s="12" t="s">
        <v>216</v>
      </c>
      <c r="B67" s="8" t="s">
        <v>85</v>
      </c>
      <c r="C67" s="33"/>
      <c r="D67" t="s">
        <v>132</v>
      </c>
      <c r="E67" s="1" t="str">
        <f>IF(C67="","",_xlfn.XLOOKUP(C67,standard[choice],standard[score])*F67)</f>
        <v/>
      </c>
      <c r="F67">
        <v>1</v>
      </c>
      <c r="J67" t="str">
        <f t="shared" si="4"/>
        <v>q32g</v>
      </c>
      <c r="L67" t="b">
        <f t="shared" si="2"/>
        <v>0</v>
      </c>
      <c r="N67" s="4"/>
      <c r="O67" s="4"/>
    </row>
    <row r="68" spans="1:15" ht="41.25" customHeight="1" x14ac:dyDescent="0.35">
      <c r="A68" s="12" t="s">
        <v>17</v>
      </c>
      <c r="B68" s="8" t="s">
        <v>86</v>
      </c>
      <c r="C68" s="37"/>
      <c r="D68" t="s">
        <v>249</v>
      </c>
      <c r="E68" s="1" t="str">
        <f>IF(C68="","",_xlfn.XLOOKUP(C68,YPNmeta[choice],YPNmeta[score])*F68)</f>
        <v/>
      </c>
      <c r="F68">
        <v>1</v>
      </c>
      <c r="J68" t="str">
        <f t="shared" si="4"/>
        <v>q33</v>
      </c>
      <c r="L68" t="b">
        <f t="shared" si="2"/>
        <v>0</v>
      </c>
      <c r="N68" s="4"/>
      <c r="O68" s="4"/>
    </row>
    <row r="69" spans="1:15" ht="30.75" customHeight="1" x14ac:dyDescent="0.35">
      <c r="A69" s="44" t="s">
        <v>287</v>
      </c>
      <c r="B69" s="24"/>
      <c r="C69" s="39"/>
      <c r="D69" s="45"/>
      <c r="E69" s="46" t="str">
        <f>IF(C69="","",_xlfn.XLOOKUP(C69,standard[choice],standard[score])*F69)</f>
        <v/>
      </c>
      <c r="F69" s="45"/>
      <c r="G69" s="45"/>
      <c r="H69" s="46"/>
      <c r="I69" s="45"/>
      <c r="J69" s="45"/>
      <c r="K69" s="45"/>
      <c r="L69" s="45" t="b">
        <f t="shared" si="2"/>
        <v>0</v>
      </c>
      <c r="M69" s="45"/>
      <c r="N69" s="45"/>
      <c r="O69" s="4"/>
    </row>
    <row r="70" spans="1:15" ht="128.5" customHeight="1" x14ac:dyDescent="0.35">
      <c r="A70" s="12" t="s">
        <v>18</v>
      </c>
      <c r="B70" s="8" t="s">
        <v>87</v>
      </c>
      <c r="C70" s="34"/>
      <c r="E70" s="1" t="str">
        <f>IF(C70="","",_xlfn.XLOOKUP(C70,standard[choice],standard[score])*F70)</f>
        <v/>
      </c>
      <c r="L70" t="b">
        <f t="shared" si="2"/>
        <v>0</v>
      </c>
      <c r="N70" s="27" t="s">
        <v>306</v>
      </c>
      <c r="O70" s="4"/>
    </row>
    <row r="71" spans="1:15" ht="48" customHeight="1" x14ac:dyDescent="0.35">
      <c r="A71" s="12" t="s">
        <v>217</v>
      </c>
      <c r="B71" s="8" t="s">
        <v>88</v>
      </c>
      <c r="C71" s="33"/>
      <c r="D71" t="s">
        <v>132</v>
      </c>
      <c r="E71" s="1" t="str">
        <f>IF(C71="","",_xlfn.XLOOKUP(C71,standard[choice],standard[score])*F71)</f>
        <v/>
      </c>
      <c r="F71">
        <v>1</v>
      </c>
      <c r="J71" t="str">
        <f t="shared" ref="J71:J90" si="5">IF(E71="",SUBSTITUTE(TRIM(A71),"—",""))</f>
        <v>q38a</v>
      </c>
      <c r="L71" t="b">
        <f t="shared" si="2"/>
        <v>0</v>
      </c>
      <c r="N71" s="27"/>
      <c r="O71" s="4"/>
    </row>
    <row r="72" spans="1:15" ht="49.5" customHeight="1" x14ac:dyDescent="0.35">
      <c r="A72" s="12" t="s">
        <v>218</v>
      </c>
      <c r="B72" s="8" t="s">
        <v>89</v>
      </c>
      <c r="C72" s="33"/>
      <c r="D72" t="s">
        <v>132</v>
      </c>
      <c r="E72" s="1" t="str">
        <f>IF(C72="","",_xlfn.XLOOKUP(C72,standard[choice],standard[score])*F72)</f>
        <v/>
      </c>
      <c r="F72">
        <v>1</v>
      </c>
      <c r="J72" t="str">
        <f t="shared" si="5"/>
        <v>q38b</v>
      </c>
      <c r="L72" t="b">
        <f t="shared" ref="L72:L112" si="6">IF(ISNA(E72),SUBSTITUTE(TRIM(A72),"—",""))</f>
        <v>0</v>
      </c>
      <c r="N72" s="27" t="s">
        <v>307</v>
      </c>
      <c r="O72" s="4"/>
    </row>
    <row r="73" spans="1:15" ht="111" customHeight="1" x14ac:dyDescent="0.35">
      <c r="A73" s="12" t="s">
        <v>219</v>
      </c>
      <c r="B73" s="8" t="s">
        <v>90</v>
      </c>
      <c r="C73" s="33"/>
      <c r="D73" t="s">
        <v>132</v>
      </c>
      <c r="E73" s="1" t="str">
        <f>IF(C73="","",_xlfn.XLOOKUP(C73,standard[choice],standard[score])*F73)</f>
        <v/>
      </c>
      <c r="F73">
        <v>1</v>
      </c>
      <c r="J73" t="str">
        <f t="shared" si="5"/>
        <v>q38c</v>
      </c>
      <c r="L73" t="b">
        <f t="shared" si="6"/>
        <v>0</v>
      </c>
      <c r="N73" s="27"/>
      <c r="O73" s="4"/>
    </row>
    <row r="74" spans="1:15" ht="60.75" customHeight="1" x14ac:dyDescent="0.35">
      <c r="A74" s="12" t="s">
        <v>220</v>
      </c>
      <c r="B74" s="8" t="s">
        <v>91</v>
      </c>
      <c r="C74" s="33"/>
      <c r="D74" t="s">
        <v>132</v>
      </c>
      <c r="E74" s="1" t="str">
        <f>IF(C74="","",_xlfn.XLOOKUP(C74,standard[choice],standard[score])*F74)</f>
        <v/>
      </c>
      <c r="F74">
        <v>1</v>
      </c>
      <c r="J74" t="str">
        <f t="shared" si="5"/>
        <v>q38d</v>
      </c>
      <c r="L74" t="b">
        <f t="shared" si="6"/>
        <v>0</v>
      </c>
      <c r="N74" s="27"/>
      <c r="O74" s="4"/>
    </row>
    <row r="75" spans="1:15" ht="48" customHeight="1" x14ac:dyDescent="0.35">
      <c r="A75" s="12" t="s">
        <v>19</v>
      </c>
      <c r="B75" s="8" t="s">
        <v>92</v>
      </c>
      <c r="C75" s="34"/>
      <c r="L75" t="b">
        <f t="shared" si="6"/>
        <v>0</v>
      </c>
      <c r="N75" s="27"/>
      <c r="O75" s="4"/>
    </row>
    <row r="76" spans="1:15" ht="135.65" customHeight="1" x14ac:dyDescent="0.35">
      <c r="A76" s="12" t="s">
        <v>221</v>
      </c>
      <c r="B76" s="8" t="s">
        <v>93</v>
      </c>
      <c r="C76" s="33"/>
      <c r="D76" t="s">
        <v>132</v>
      </c>
      <c r="E76" s="1" t="str">
        <f>IF(C76="","",_xlfn.XLOOKUP(C76,standard[choice],standard[score])*F76)</f>
        <v/>
      </c>
      <c r="F76">
        <v>1</v>
      </c>
      <c r="J76" t="str">
        <f t="shared" si="5"/>
        <v>q41a</v>
      </c>
      <c r="L76" t="b">
        <f t="shared" si="6"/>
        <v>0</v>
      </c>
      <c r="N76" s="27" t="s">
        <v>308</v>
      </c>
      <c r="O76" s="4"/>
    </row>
    <row r="77" spans="1:15" ht="134.15" customHeight="1" x14ac:dyDescent="0.35">
      <c r="A77" s="12" t="s">
        <v>222</v>
      </c>
      <c r="B77" s="8" t="s">
        <v>94</v>
      </c>
      <c r="C77" s="33"/>
      <c r="D77" t="s">
        <v>132</v>
      </c>
      <c r="E77" s="1" t="str">
        <f>IF(C77="","",_xlfn.XLOOKUP(C77,standard[choice],standard[score])*F77)</f>
        <v/>
      </c>
      <c r="F77">
        <v>1</v>
      </c>
      <c r="J77" t="str">
        <f t="shared" si="5"/>
        <v>q41b</v>
      </c>
      <c r="L77" t="b">
        <f t="shared" si="6"/>
        <v>0</v>
      </c>
      <c r="N77" s="27" t="s">
        <v>308</v>
      </c>
      <c r="O77" s="4"/>
    </row>
    <row r="78" spans="1:15" ht="48.75" customHeight="1" x14ac:dyDescent="0.35">
      <c r="A78" s="12" t="s">
        <v>223</v>
      </c>
      <c r="B78" s="8" t="s">
        <v>95</v>
      </c>
      <c r="C78" s="33"/>
      <c r="D78" t="s">
        <v>132</v>
      </c>
      <c r="E78" s="1" t="str">
        <f>IF(C78="","",_xlfn.XLOOKUP(C78,standard[choice],standard[score])*F78)</f>
        <v/>
      </c>
      <c r="F78">
        <v>1</v>
      </c>
      <c r="J78" t="str">
        <f t="shared" si="5"/>
        <v>q41c</v>
      </c>
      <c r="L78" t="b">
        <f t="shared" si="6"/>
        <v>0</v>
      </c>
      <c r="N78" s="4"/>
      <c r="O78" s="4"/>
    </row>
    <row r="79" spans="1:15" ht="81.75" customHeight="1" x14ac:dyDescent="0.35">
      <c r="A79" s="12" t="s">
        <v>224</v>
      </c>
      <c r="B79" s="8" t="s">
        <v>96</v>
      </c>
      <c r="C79" s="33"/>
      <c r="D79" t="s">
        <v>132</v>
      </c>
      <c r="E79" s="1" t="str">
        <f>IF(C79="","",_xlfn.XLOOKUP(C79,standard[choice],standard[score])*F79)</f>
        <v/>
      </c>
      <c r="F79">
        <v>1</v>
      </c>
      <c r="J79" t="str">
        <f t="shared" si="5"/>
        <v>q41d</v>
      </c>
      <c r="L79" t="b">
        <f t="shared" si="6"/>
        <v>0</v>
      </c>
      <c r="N79" s="4"/>
      <c r="O79" s="4"/>
    </row>
    <row r="80" spans="1:15" ht="49.5" customHeight="1" x14ac:dyDescent="0.35">
      <c r="A80" s="12" t="s">
        <v>225</v>
      </c>
      <c r="B80" s="8" t="s">
        <v>97</v>
      </c>
      <c r="C80" s="33"/>
      <c r="D80" t="s">
        <v>135</v>
      </c>
      <c r="E80" s="1" t="str">
        <f>IF(C80="","",_xlfn.XLOOKUP(C80,standardRev[choice],standardRev[score])*F80)</f>
        <v/>
      </c>
      <c r="F80">
        <v>1</v>
      </c>
      <c r="J80" t="str">
        <f t="shared" si="5"/>
        <v>q41e</v>
      </c>
      <c r="L80" t="b">
        <f t="shared" si="6"/>
        <v>0</v>
      </c>
      <c r="N80" s="4"/>
      <c r="O80" s="4"/>
    </row>
    <row r="81" spans="1:15" ht="97.5" customHeight="1" x14ac:dyDescent="0.35">
      <c r="A81" s="12" t="s">
        <v>226</v>
      </c>
      <c r="B81" s="8" t="s">
        <v>98</v>
      </c>
      <c r="C81" s="33"/>
      <c r="D81" t="s">
        <v>132</v>
      </c>
      <c r="E81" s="1" t="str">
        <f>IF(C81="","",_xlfn.XLOOKUP(C81,standard[choice],standard[score])*F81)</f>
        <v/>
      </c>
      <c r="F81">
        <v>1</v>
      </c>
      <c r="J81" t="str">
        <f t="shared" si="5"/>
        <v>q41g</v>
      </c>
      <c r="L81" t="b">
        <f t="shared" si="6"/>
        <v>0</v>
      </c>
      <c r="N81" s="4"/>
      <c r="O81" s="4"/>
    </row>
    <row r="82" spans="1:15" ht="30.75" customHeight="1" x14ac:dyDescent="0.35">
      <c r="A82" s="44" t="s">
        <v>288</v>
      </c>
      <c r="B82" s="24"/>
      <c r="C82" s="39"/>
      <c r="D82" s="45"/>
      <c r="E82" s="46"/>
      <c r="F82" s="45"/>
      <c r="G82" s="45"/>
      <c r="H82" s="46"/>
      <c r="I82" s="45"/>
      <c r="J82" s="45"/>
      <c r="K82" s="45"/>
      <c r="L82" s="45" t="b">
        <f t="shared" si="6"/>
        <v>0</v>
      </c>
      <c r="M82" s="45"/>
      <c r="N82" s="45"/>
      <c r="O82" s="4"/>
    </row>
    <row r="83" spans="1:15" ht="125.15" customHeight="1" x14ac:dyDescent="0.35">
      <c r="A83" s="12" t="s">
        <v>20</v>
      </c>
      <c r="B83" s="8" t="s">
        <v>99</v>
      </c>
      <c r="C83" s="34"/>
      <c r="L83" t="b">
        <f t="shared" si="6"/>
        <v>0</v>
      </c>
      <c r="N83" s="27" t="s">
        <v>309</v>
      </c>
      <c r="O83" s="4"/>
    </row>
    <row r="84" spans="1:15" ht="147.65" customHeight="1" x14ac:dyDescent="0.35">
      <c r="A84" s="12" t="s">
        <v>227</v>
      </c>
      <c r="B84" s="8" t="s">
        <v>293</v>
      </c>
      <c r="C84" s="33"/>
      <c r="D84" t="s">
        <v>132</v>
      </c>
      <c r="E84" s="1" t="str">
        <f>IF(C84="","",_xlfn.XLOOKUP(C84,standard[choice],standard[score])*F84)</f>
        <v/>
      </c>
      <c r="F84">
        <v>1</v>
      </c>
      <c r="J84" t="str">
        <f t="shared" si="5"/>
        <v>q46a</v>
      </c>
      <c r="L84" t="b">
        <f t="shared" si="6"/>
        <v>0</v>
      </c>
      <c r="N84" s="27"/>
      <c r="O84" s="4"/>
    </row>
    <row r="85" spans="1:15" ht="108" customHeight="1" x14ac:dyDescent="0.35">
      <c r="A85" s="12" t="s">
        <v>228</v>
      </c>
      <c r="B85" s="8" t="s">
        <v>100</v>
      </c>
      <c r="C85" s="33"/>
      <c r="D85" t="s">
        <v>132</v>
      </c>
      <c r="E85" s="1" t="str">
        <f>IF(C85="","",_xlfn.XLOOKUP(C85,standard[choice],standard[score])*F85)</f>
        <v/>
      </c>
      <c r="F85">
        <v>1</v>
      </c>
      <c r="J85" t="str">
        <f t="shared" si="5"/>
        <v>q46b</v>
      </c>
      <c r="L85" t="b">
        <f t="shared" si="6"/>
        <v>0</v>
      </c>
      <c r="N85" s="27"/>
      <c r="O85" s="4"/>
    </row>
    <row r="86" spans="1:15" ht="46.5" customHeight="1" x14ac:dyDescent="0.35">
      <c r="A86" s="12" t="s">
        <v>229</v>
      </c>
      <c r="B86" s="8" t="s">
        <v>101</v>
      </c>
      <c r="C86" s="33"/>
      <c r="D86" t="s">
        <v>132</v>
      </c>
      <c r="E86" s="1" t="str">
        <f>IF(C86="","",_xlfn.XLOOKUP(C86,standard[choice],standard[score])*F86)</f>
        <v/>
      </c>
      <c r="F86">
        <v>1</v>
      </c>
      <c r="J86" t="str">
        <f t="shared" si="5"/>
        <v>q46c</v>
      </c>
      <c r="L86" t="b">
        <f t="shared" si="6"/>
        <v>0</v>
      </c>
      <c r="N86" s="27"/>
      <c r="O86" s="4"/>
    </row>
    <row r="87" spans="1:15" ht="93.75" customHeight="1" x14ac:dyDescent="0.35">
      <c r="A87" s="12" t="s">
        <v>230</v>
      </c>
      <c r="B87" s="8" t="s">
        <v>261</v>
      </c>
      <c r="C87" s="33"/>
      <c r="D87" t="s">
        <v>132</v>
      </c>
      <c r="E87" s="1" t="str">
        <f>IF(C87="","",_xlfn.XLOOKUP(C87,standard[choice],standard[score])*F87)</f>
        <v/>
      </c>
      <c r="F87">
        <v>1</v>
      </c>
      <c r="J87" t="str">
        <f t="shared" si="5"/>
        <v>q46e</v>
      </c>
      <c r="L87" t="b">
        <f t="shared" si="6"/>
        <v>0</v>
      </c>
      <c r="N87" s="27"/>
      <c r="O87" s="4"/>
    </row>
    <row r="88" spans="1:15" ht="47.25" customHeight="1" x14ac:dyDescent="0.35">
      <c r="A88" s="12" t="s">
        <v>231</v>
      </c>
      <c r="B88" s="8" t="s">
        <v>102</v>
      </c>
      <c r="C88" s="33"/>
      <c r="D88" t="s">
        <v>132</v>
      </c>
      <c r="E88" s="1" t="str">
        <f>IF(C88="","",_xlfn.XLOOKUP(C88,standard[choice],standard[score])*F88)</f>
        <v/>
      </c>
      <c r="F88">
        <v>1</v>
      </c>
      <c r="J88" t="str">
        <f t="shared" si="5"/>
        <v>q46f</v>
      </c>
      <c r="L88" t="b">
        <f t="shared" si="6"/>
        <v>0</v>
      </c>
      <c r="N88" s="27"/>
      <c r="O88" s="4"/>
    </row>
    <row r="89" spans="1:15" ht="105" customHeight="1" x14ac:dyDescent="0.35">
      <c r="A89" s="12" t="s">
        <v>232</v>
      </c>
      <c r="B89" s="8" t="s">
        <v>103</v>
      </c>
      <c r="C89" s="33"/>
      <c r="D89" t="s">
        <v>132</v>
      </c>
      <c r="E89" s="1" t="str">
        <f>IF(C89="","",_xlfn.XLOOKUP(C89,standard[choice],standard[score])*F89)</f>
        <v/>
      </c>
      <c r="F89">
        <v>1</v>
      </c>
      <c r="J89" t="str">
        <f t="shared" si="5"/>
        <v>q46g</v>
      </c>
      <c r="L89" t="b">
        <f t="shared" si="6"/>
        <v>0</v>
      </c>
      <c r="N89" s="27"/>
      <c r="O89" s="4"/>
    </row>
    <row r="90" spans="1:15" ht="45" customHeight="1" x14ac:dyDescent="0.35">
      <c r="A90" s="12" t="s">
        <v>233</v>
      </c>
      <c r="B90" s="8" t="s">
        <v>104</v>
      </c>
      <c r="C90" s="33"/>
      <c r="D90" t="s">
        <v>132</v>
      </c>
      <c r="E90" s="1" t="str">
        <f>IF(C90="","",_xlfn.XLOOKUP(C90,standard[choice],standard[score])*F90)</f>
        <v/>
      </c>
      <c r="F90">
        <v>1</v>
      </c>
      <c r="J90" t="str">
        <f t="shared" si="5"/>
        <v>q46h</v>
      </c>
      <c r="L90" t="b">
        <f t="shared" si="6"/>
        <v>0</v>
      </c>
      <c r="N90" s="27"/>
      <c r="O90" s="4"/>
    </row>
    <row r="91" spans="1:15" ht="50.5" customHeight="1" x14ac:dyDescent="0.35">
      <c r="A91" s="12" t="s">
        <v>21</v>
      </c>
      <c r="B91" s="8" t="s">
        <v>105</v>
      </c>
      <c r="C91" s="33"/>
      <c r="D91" t="s">
        <v>129</v>
      </c>
      <c r="G91">
        <f>IF(C91="",0,_xlfn.XLOOKUP(C91,YN[choice],YN[combo num]))</f>
        <v>0</v>
      </c>
      <c r="L91" t="b">
        <f t="shared" si="6"/>
        <v>0</v>
      </c>
      <c r="N91" s="27" t="s">
        <v>310</v>
      </c>
      <c r="O91" s="4"/>
    </row>
    <row r="92" spans="1:15" ht="29.25" customHeight="1" x14ac:dyDescent="0.35">
      <c r="A92" s="12" t="s">
        <v>22</v>
      </c>
      <c r="B92" s="8" t="s">
        <v>106</v>
      </c>
      <c r="C92" s="34"/>
      <c r="L92" t="b">
        <f t="shared" si="6"/>
        <v>0</v>
      </c>
      <c r="N92" s="27"/>
      <c r="O92" s="4"/>
    </row>
    <row r="93" spans="1:15" ht="29.25" customHeight="1" x14ac:dyDescent="0.35">
      <c r="A93" s="12" t="s">
        <v>234</v>
      </c>
      <c r="B93" s="8" t="s">
        <v>107</v>
      </c>
      <c r="C93" s="36" t="b">
        <v>0</v>
      </c>
      <c r="D93" t="s">
        <v>155</v>
      </c>
      <c r="L93" t="b">
        <f t="shared" si="6"/>
        <v>0</v>
      </c>
      <c r="N93" s="27"/>
      <c r="O93" s="4"/>
    </row>
    <row r="94" spans="1:15" ht="29.25" customHeight="1" x14ac:dyDescent="0.35">
      <c r="A94" s="12" t="s">
        <v>235</v>
      </c>
      <c r="B94" s="8" t="s">
        <v>108</v>
      </c>
      <c r="C94" s="36" t="b">
        <v>0</v>
      </c>
      <c r="D94" t="s">
        <v>155</v>
      </c>
      <c r="L94" t="b">
        <f t="shared" si="6"/>
        <v>0</v>
      </c>
      <c r="N94" s="27"/>
      <c r="O94" s="4"/>
    </row>
    <row r="95" spans="1:15" ht="29.25" customHeight="1" x14ac:dyDescent="0.35">
      <c r="A95" s="12" t="s">
        <v>236</v>
      </c>
      <c r="B95" s="8" t="s">
        <v>109</v>
      </c>
      <c r="C95" s="36" t="b">
        <v>0</v>
      </c>
      <c r="D95" t="s">
        <v>155</v>
      </c>
      <c r="L95" t="b">
        <f t="shared" si="6"/>
        <v>0</v>
      </c>
      <c r="N95" s="27"/>
      <c r="O95" s="4"/>
    </row>
    <row r="96" spans="1:15" ht="29.25" customHeight="1" x14ac:dyDescent="0.35">
      <c r="A96" s="12" t="s">
        <v>237</v>
      </c>
      <c r="B96" s="8" t="s">
        <v>110</v>
      </c>
      <c r="C96" s="36" t="b">
        <v>0</v>
      </c>
      <c r="D96" t="s">
        <v>155</v>
      </c>
      <c r="G96">
        <f>IF(OR(G91=2,C97),0,IF(OR(C93:C96),14,0))</f>
        <v>0</v>
      </c>
      <c r="L96" t="b">
        <f t="shared" si="6"/>
        <v>0</v>
      </c>
      <c r="N96" s="27"/>
      <c r="O96" s="4"/>
    </row>
    <row r="97" spans="1:15" ht="29.25" customHeight="1" x14ac:dyDescent="0.35">
      <c r="A97" s="12" t="s">
        <v>238</v>
      </c>
      <c r="B97" s="8" t="s">
        <v>111</v>
      </c>
      <c r="C97" s="36" t="b">
        <v>0</v>
      </c>
      <c r="D97" t="s">
        <v>155</v>
      </c>
      <c r="G97">
        <f>IF(G91=2,0,IF(C97,5,0))</f>
        <v>0</v>
      </c>
      <c r="L97" t="b">
        <f t="shared" si="6"/>
        <v>0</v>
      </c>
      <c r="N97" s="27"/>
      <c r="O97" s="4"/>
    </row>
    <row r="98" spans="1:15" ht="29.25" customHeight="1" x14ac:dyDescent="0.35">
      <c r="A98" s="12" t="s">
        <v>23</v>
      </c>
      <c r="B98" s="8" t="s">
        <v>112</v>
      </c>
      <c r="C98" s="33"/>
      <c r="D98" t="s">
        <v>129</v>
      </c>
      <c r="F98">
        <v>1</v>
      </c>
      <c r="G98" t="str">
        <f>IF(OR(G91=2,C98=""),"",_xlfn.XLOOKUP(C98,YN[choice],YN[combo num]))</f>
        <v/>
      </c>
      <c r="H98" s="1" t="str">
        <f>IF(COUNTIF(q59_61combo[combo code],I98)=0,"",_xlfn.XLOOKUP(I98,q59_61combo[combo code],q59_61combo[score])*F98)</f>
        <v/>
      </c>
      <c r="I98" t="str">
        <f>_xlfn.CONCAT(G91,G93:G98)</f>
        <v>000</v>
      </c>
      <c r="L98" t="str">
        <f>IF(G91=2,FALSE,IF(OR(OR(ISNA(H98),H98=""),AND(OR(C93:C96),C97)),"q59-61"))</f>
        <v>q59-61</v>
      </c>
      <c r="N98" s="27"/>
      <c r="O98" s="4"/>
    </row>
    <row r="99" spans="1:15" ht="30.75" customHeight="1" x14ac:dyDescent="0.35">
      <c r="A99" s="44" t="s">
        <v>289</v>
      </c>
      <c r="B99" s="24"/>
      <c r="C99" s="39"/>
      <c r="D99" s="45"/>
      <c r="E99" s="46"/>
      <c r="F99" s="45"/>
      <c r="G99" s="45"/>
      <c r="H99" s="46"/>
      <c r="I99" s="45"/>
      <c r="J99" s="45"/>
      <c r="K99" s="45"/>
      <c r="L99" s="45" t="b">
        <f t="shared" si="6"/>
        <v>0</v>
      </c>
      <c r="M99" s="45"/>
      <c r="N99" s="27"/>
      <c r="O99" s="4"/>
    </row>
    <row r="100" spans="1:15" ht="66.650000000000006" customHeight="1" x14ac:dyDescent="0.35">
      <c r="A100" s="12" t="s">
        <v>24</v>
      </c>
      <c r="B100" s="8" t="s">
        <v>113</v>
      </c>
      <c r="C100" s="34"/>
      <c r="L100" t="b">
        <f t="shared" si="6"/>
        <v>0</v>
      </c>
      <c r="N100" s="27" t="s">
        <v>311</v>
      </c>
      <c r="O100" s="4"/>
    </row>
    <row r="101" spans="1:15" ht="31.5" customHeight="1" x14ac:dyDescent="0.35">
      <c r="A101" s="12" t="s">
        <v>239</v>
      </c>
      <c r="B101" s="8" t="s">
        <v>114</v>
      </c>
      <c r="C101" s="33"/>
      <c r="D101" t="s">
        <v>132</v>
      </c>
      <c r="E101" s="1" t="str">
        <f>IF(C101="","",_xlfn.XLOOKUP(C101,standard[choice],standard[score])*F101)</f>
        <v/>
      </c>
      <c r="F101">
        <v>1</v>
      </c>
      <c r="J101" t="str">
        <f t="shared" ref="J101:J104" si="7">IF(E101="",SUBSTITUTE(TRIM(A101),"—",""))</f>
        <v>q62a</v>
      </c>
      <c r="L101" t="b">
        <f t="shared" si="6"/>
        <v>0</v>
      </c>
      <c r="N101" s="27"/>
      <c r="O101" s="4"/>
    </row>
    <row r="102" spans="1:15" ht="42" customHeight="1" x14ac:dyDescent="0.35">
      <c r="A102" s="12" t="s">
        <v>240</v>
      </c>
      <c r="B102" s="8" t="s">
        <v>115</v>
      </c>
      <c r="C102" s="33"/>
      <c r="D102" t="s">
        <v>135</v>
      </c>
      <c r="E102" s="1" t="str">
        <f>IF(C102="","",_xlfn.XLOOKUP(C102,standardRev[choice],standardRev[score])*F102)</f>
        <v/>
      </c>
      <c r="F102">
        <v>1</v>
      </c>
      <c r="J102" t="str">
        <f t="shared" si="7"/>
        <v>q62b</v>
      </c>
      <c r="L102" t="b">
        <f t="shared" si="6"/>
        <v>0</v>
      </c>
      <c r="N102" s="27"/>
      <c r="O102" s="4"/>
    </row>
    <row r="103" spans="1:15" ht="92.25" customHeight="1" x14ac:dyDescent="0.35">
      <c r="A103" s="12" t="s">
        <v>241</v>
      </c>
      <c r="B103" s="8" t="s">
        <v>116</v>
      </c>
      <c r="C103" s="33"/>
      <c r="D103" t="s">
        <v>132</v>
      </c>
      <c r="E103" s="1" t="str">
        <f>IF(C103="","",_xlfn.XLOOKUP(C103,standard[choice],standard[score])*F103)</f>
        <v/>
      </c>
      <c r="F103">
        <v>1</v>
      </c>
      <c r="J103" t="str">
        <f t="shared" si="7"/>
        <v>q62c</v>
      </c>
      <c r="L103" t="b">
        <f t="shared" si="6"/>
        <v>0</v>
      </c>
      <c r="N103" s="27" t="s">
        <v>312</v>
      </c>
      <c r="O103" s="4"/>
    </row>
    <row r="104" spans="1:15" ht="48" customHeight="1" x14ac:dyDescent="0.35">
      <c r="A104" s="12" t="s">
        <v>242</v>
      </c>
      <c r="B104" s="8" t="s">
        <v>117</v>
      </c>
      <c r="C104" s="33"/>
      <c r="D104" t="s">
        <v>132</v>
      </c>
      <c r="E104" s="1" t="str">
        <f>IF(C104="","",_xlfn.XLOOKUP(C104,standard[choice],standard[score])*F104)</f>
        <v/>
      </c>
      <c r="F104">
        <v>1</v>
      </c>
      <c r="J104" t="str">
        <f t="shared" si="7"/>
        <v>q62d</v>
      </c>
      <c r="L104" t="b">
        <f t="shared" si="6"/>
        <v>0</v>
      </c>
      <c r="N104" s="27"/>
      <c r="O104" s="4"/>
    </row>
    <row r="105" spans="1:15" ht="30" customHeight="1" x14ac:dyDescent="0.35">
      <c r="A105" s="12" t="s">
        <v>25</v>
      </c>
      <c r="B105" s="8" t="s">
        <v>118</v>
      </c>
      <c r="C105" s="34"/>
      <c r="L105" t="b">
        <f t="shared" si="6"/>
        <v>0</v>
      </c>
      <c r="N105" s="27"/>
      <c r="O105" s="4"/>
    </row>
    <row r="106" spans="1:15" ht="92.25" customHeight="1" x14ac:dyDescent="0.35">
      <c r="A106" s="12" t="s">
        <v>243</v>
      </c>
      <c r="B106" s="8" t="s">
        <v>119</v>
      </c>
      <c r="C106" s="33"/>
      <c r="D106" t="s">
        <v>132</v>
      </c>
      <c r="E106" s="1" t="str">
        <f>IF(C106="","",_xlfn.XLOOKUP(C106,standard[choice],standard[score])*F106)</f>
        <v/>
      </c>
      <c r="F106">
        <v>1</v>
      </c>
      <c r="J106" t="str">
        <f t="shared" ref="J106:J109" si="8">IF(E106="",SUBSTITUTE(TRIM(A106),"—",""))</f>
        <v>q63a</v>
      </c>
      <c r="K106" t="b">
        <v>0</v>
      </c>
      <c r="L106" t="b">
        <f t="shared" si="6"/>
        <v>0</v>
      </c>
      <c r="N106" s="27" t="s">
        <v>313</v>
      </c>
      <c r="O106" s="4"/>
    </row>
    <row r="107" spans="1:15" ht="33.75" customHeight="1" x14ac:dyDescent="0.35">
      <c r="A107" s="12" t="s">
        <v>244</v>
      </c>
      <c r="B107" s="8" t="s">
        <v>120</v>
      </c>
      <c r="C107" s="33"/>
      <c r="D107" t="s">
        <v>132</v>
      </c>
      <c r="E107" s="1" t="str">
        <f>IF(C107="","",_xlfn.XLOOKUP(C107,standard[choice],standard[score])*F107)</f>
        <v/>
      </c>
      <c r="F107">
        <v>1</v>
      </c>
      <c r="J107" t="str">
        <f t="shared" si="8"/>
        <v>q63b</v>
      </c>
      <c r="K107" t="b">
        <v>0</v>
      </c>
      <c r="L107" t="b">
        <f t="shared" si="6"/>
        <v>0</v>
      </c>
      <c r="N107" s="4"/>
      <c r="O107" s="4"/>
    </row>
    <row r="108" spans="1:15" ht="76.5" customHeight="1" x14ac:dyDescent="0.35">
      <c r="A108" s="12" t="s">
        <v>245</v>
      </c>
      <c r="B108" s="8" t="s">
        <v>121</v>
      </c>
      <c r="C108" s="33"/>
      <c r="D108" t="s">
        <v>136</v>
      </c>
      <c r="E108" s="1" t="str">
        <f>IF(OR(C108="",K108),"",_xlfn.XLOOKUP(C108,standardNA[choice],standardNA[score])*F108)</f>
        <v/>
      </c>
      <c r="F108">
        <v>1</v>
      </c>
      <c r="J108" t="str">
        <f>IF(K108,FALSE,IF(E108="",SUBSTITUTE(TRIM(A108),"—","")))</f>
        <v>q63c</v>
      </c>
      <c r="K108" t="b">
        <f>C108="Not applicable"</f>
        <v>0</v>
      </c>
      <c r="L108" t="b">
        <f t="shared" si="6"/>
        <v>0</v>
      </c>
      <c r="N108" s="4"/>
      <c r="O108" s="4"/>
    </row>
    <row r="109" spans="1:15" ht="30" customHeight="1" x14ac:dyDescent="0.35">
      <c r="A109" s="12" t="s">
        <v>246</v>
      </c>
      <c r="B109" s="8" t="s">
        <v>122</v>
      </c>
      <c r="C109" s="33"/>
      <c r="D109" t="s">
        <v>132</v>
      </c>
      <c r="E109" s="1" t="str">
        <f>IF(C109="","",_xlfn.XLOOKUP(C109,standard[choice],standard[score])*F109)</f>
        <v/>
      </c>
      <c r="F109">
        <v>1</v>
      </c>
      <c r="J109" t="str">
        <f t="shared" si="8"/>
        <v>q63d</v>
      </c>
      <c r="K109" t="b">
        <v>0</v>
      </c>
      <c r="L109" t="b">
        <f t="shared" si="6"/>
        <v>0</v>
      </c>
      <c r="N109" s="4"/>
      <c r="O109" s="4"/>
    </row>
    <row r="110" spans="1:15" ht="43.5" customHeight="1" x14ac:dyDescent="0.35">
      <c r="A110" s="12" t="s">
        <v>247</v>
      </c>
      <c r="B110" s="8" t="s">
        <v>123</v>
      </c>
      <c r="C110" s="33"/>
      <c r="D110" t="s">
        <v>136</v>
      </c>
      <c r="E110" s="1" t="str">
        <f>IF(OR(C110="",K110),"",_xlfn.XLOOKUP(C110,standardNA[choice],standardNA[score])*F110)</f>
        <v/>
      </c>
      <c r="F110">
        <v>1</v>
      </c>
      <c r="J110" t="str">
        <f>IF(K110,FALSE,IF(E110="",SUBSTITUTE(TRIM(A110),"—","")))</f>
        <v>q63e</v>
      </c>
      <c r="K110" t="b">
        <f t="shared" ref="K110:K112" si="9">C110="Not applicable"</f>
        <v>0</v>
      </c>
      <c r="L110" t="b">
        <f t="shared" si="6"/>
        <v>0</v>
      </c>
      <c r="N110" s="4"/>
      <c r="O110" s="4"/>
    </row>
    <row r="111" spans="1:15" ht="27.75" customHeight="1" x14ac:dyDescent="0.35">
      <c r="A111" s="12" t="s">
        <v>248</v>
      </c>
      <c r="B111" s="8" t="s">
        <v>124</v>
      </c>
      <c r="C111" s="33"/>
      <c r="D111" t="s">
        <v>136</v>
      </c>
      <c r="E111" s="1" t="str">
        <f>IF(OR(C111="",K111),"",_xlfn.XLOOKUP(C111,standardNA[choice],standardNA[score])*F111)</f>
        <v/>
      </c>
      <c r="F111">
        <v>1</v>
      </c>
      <c r="J111" t="str">
        <f>IF(K111,FALSE,IF(E111="",SUBSTITUTE(TRIM(A111),"—","")))</f>
        <v>q63f</v>
      </c>
      <c r="K111" t="b">
        <f t="shared" si="9"/>
        <v>0</v>
      </c>
      <c r="L111" t="b">
        <f t="shared" si="6"/>
        <v>0</v>
      </c>
      <c r="N111" s="4"/>
      <c r="O111" s="4"/>
    </row>
    <row r="112" spans="1:15" ht="27.75" customHeight="1" thickBot="1" x14ac:dyDescent="0.4">
      <c r="A112" s="13" t="s">
        <v>251</v>
      </c>
      <c r="B112" s="16" t="s">
        <v>125</v>
      </c>
      <c r="C112" s="40"/>
      <c r="D112" t="s">
        <v>136</v>
      </c>
      <c r="E112" s="1" t="str">
        <f>IF(OR(C112="",K112),"",_xlfn.XLOOKUP(C112,standardNA[choice],standardNA[score])*F112)</f>
        <v/>
      </c>
      <c r="F112">
        <v>1</v>
      </c>
      <c r="J112" t="str">
        <f>IF(K112,FALSE,IF(E112="",SUBSTITUTE(TRIM(A112),"—","")))</f>
        <v>q63g</v>
      </c>
      <c r="K112" t="b">
        <f t="shared" si="9"/>
        <v>0</v>
      </c>
      <c r="L112" t="b">
        <f t="shared" si="6"/>
        <v>0</v>
      </c>
      <c r="N112" s="15"/>
      <c r="O112" s="4"/>
    </row>
    <row r="113" spans="1:15" ht="15" thickTop="1" x14ac:dyDescent="0.35"/>
    <row r="114" spans="1:15" ht="16" x14ac:dyDescent="0.4">
      <c r="A114" s="41" t="s">
        <v>292</v>
      </c>
      <c r="B114" s="42"/>
      <c r="C114" s="43"/>
      <c r="N114" s="49" t="s">
        <v>263</v>
      </c>
      <c r="O114" s="49"/>
    </row>
    <row r="115" spans="1:15" ht="15" customHeight="1" x14ac:dyDescent="0.35">
      <c r="A115" s="25"/>
      <c r="B115" s="25"/>
      <c r="C115" s="31"/>
      <c r="N115" s="11" t="s">
        <v>254</v>
      </c>
      <c r="O115" s="14" t="s">
        <v>262</v>
      </c>
    </row>
    <row r="116" spans="1:15" ht="15" customHeight="1" x14ac:dyDescent="0.35">
      <c r="A116" s="25"/>
      <c r="B116" s="25"/>
      <c r="C116" s="31"/>
      <c r="J116" t="b" cm="1">
        <f t="array" ref="J116">OR(OR(ISTEXT(J4:J47)),OR(ISTEXT(L4:L47)))</f>
        <v>1</v>
      </c>
      <c r="N116" s="3" t="s">
        <v>255</v>
      </c>
      <c r="O116" s="5" t="str">
        <f>IF(J116,"",SUM(E4:E11,H14,H20,H26,E27,E29:E35,H37,E39:E47)/SUM(F4:F11,F14,F20,F26,F27,F29:F35,F37,F39:F47))</f>
        <v/>
      </c>
    </row>
    <row r="117" spans="1:15" x14ac:dyDescent="0.35">
      <c r="A117" s="25"/>
      <c r="B117" s="25"/>
      <c r="C117" s="31"/>
      <c r="J117" t="b" cm="1">
        <f t="array" ref="J117">OR(OR(ISTEXT(J50:J58)),OR(ISTEXT(L50:L58)))</f>
        <v>1</v>
      </c>
      <c r="N117" s="3" t="s">
        <v>256</v>
      </c>
      <c r="O117" s="5" t="str">
        <f>IF(J117,"",SUM(E50:E53,E55:E58)/SUM(F50:F53,F55:F58))</f>
        <v/>
      </c>
    </row>
    <row r="118" spans="1:15" x14ac:dyDescent="0.35">
      <c r="A118" s="25"/>
      <c r="B118" s="25"/>
      <c r="C118" s="31"/>
      <c r="J118" t="b" cm="1">
        <f t="array" ref="J118">OR(OR(ISTEXT(J61:J68)),OR(ISTEXT(L61:L68)))</f>
        <v>1</v>
      </c>
      <c r="N118" s="3" t="s">
        <v>257</v>
      </c>
      <c r="O118" s="5" t="str">
        <f>IF(J118,"",SUM(E61:E68)/SUM(F61:F68))</f>
        <v/>
      </c>
    </row>
    <row r="119" spans="1:15" x14ac:dyDescent="0.35">
      <c r="A119" s="25"/>
      <c r="B119" s="25"/>
      <c r="C119" s="31"/>
      <c r="J119" t="b" cm="1">
        <f t="array" ref="J119">OR(OR(ISTEXT(J71:J81)),OR(ISTEXT(L71:L81)))</f>
        <v>1</v>
      </c>
      <c r="N119" s="3" t="s">
        <v>264</v>
      </c>
      <c r="O119" s="5" t="str">
        <f>IF(J119,"",SUM(E71:E74,E76:E81)/SUM(F71:F74,F76:F81))</f>
        <v/>
      </c>
    </row>
    <row r="120" spans="1:15" x14ac:dyDescent="0.35">
      <c r="A120" s="26"/>
      <c r="B120" s="24"/>
      <c r="C120" s="32"/>
      <c r="J120" t="b" cm="1">
        <f t="array" ref="J120">OR(OR(ISTEXT(J84:J98)),OR(ISTEXT(L84:L98)))</f>
        <v>1</v>
      </c>
      <c r="N120" s="3" t="s">
        <v>258</v>
      </c>
      <c r="O120" s="5" t="str">
        <f>IF(J120,"",SUM(E84:E90,H98)/SUM(F84:F90,F98))</f>
        <v/>
      </c>
    </row>
    <row r="121" spans="1:15" x14ac:dyDescent="0.35">
      <c r="A121" s="26"/>
      <c r="B121" s="24"/>
      <c r="C121" s="32"/>
      <c r="J121" t="b" cm="1">
        <f t="array" ref="J121">OR(OR(ISTEXT(J101:J112)),OR(ISTEXT(L101:L112)))</f>
        <v>1</v>
      </c>
      <c r="N121" s="3" t="s">
        <v>259</v>
      </c>
      <c r="O121" s="5" t="str">
        <f>IF(J121,"",SUM(SUM(E101:E104),SUMIF(K106:K112,FALSE,E106:E112))/SUM(SUM(F101:F104),SUMIF(K106:K112,FALSE,F106:F112)))</f>
        <v/>
      </c>
    </row>
    <row r="122" spans="1:15" x14ac:dyDescent="0.35">
      <c r="A122" s="26"/>
      <c r="B122" s="24"/>
      <c r="C122" s="32"/>
      <c r="N122" s="3"/>
      <c r="O122" s="5"/>
    </row>
    <row r="123" spans="1:15" x14ac:dyDescent="0.35">
      <c r="A123" s="26"/>
      <c r="C123" s="32"/>
      <c r="N123" s="9" t="s">
        <v>260</v>
      </c>
      <c r="O123" s="10" t="str">
        <f>IF(OR(J116:J121),"",AVERAGE(O116:O121))</f>
        <v/>
      </c>
    </row>
    <row r="124" spans="1:15" x14ac:dyDescent="0.35">
      <c r="N124" s="2"/>
    </row>
    <row r="125" spans="1:15" ht="14.15" customHeight="1" x14ac:dyDescent="0.35">
      <c r="N125" s="2"/>
    </row>
    <row r="126" spans="1:15" ht="14.15" customHeight="1" x14ac:dyDescent="0.35">
      <c r="N126" s="2"/>
    </row>
    <row r="127" spans="1:15" x14ac:dyDescent="0.35"/>
  </sheetData>
  <sheetProtection sheet="1" objects="1" scenarios="1"/>
  <mergeCells count="1">
    <mergeCell ref="N114:O114"/>
  </mergeCells>
  <conditionalFormatting sqref="C13:C14">
    <cfRule type="expression" dxfId="6" priority="11">
      <formula>$G$12&lt;&gt;1</formula>
    </cfRule>
  </conditionalFormatting>
  <conditionalFormatting sqref="C20">
    <cfRule type="expression" dxfId="5" priority="8">
      <formula>OR($C$19,COUNTIF($G$16:$G$18,0)=3)</formula>
    </cfRule>
  </conditionalFormatting>
  <conditionalFormatting sqref="C23:C26">
    <cfRule type="expression" dxfId="4" priority="5">
      <formula>OR($G$21=0,$G$21=2)</formula>
    </cfRule>
  </conditionalFormatting>
  <conditionalFormatting sqref="C37">
    <cfRule type="expression" dxfId="3" priority="4">
      <formula>OR($G$36=3,$G$36=0)</formula>
    </cfRule>
  </conditionalFormatting>
  <conditionalFormatting sqref="C93:C98">
    <cfRule type="expression" dxfId="2" priority="3">
      <formula>OR($G$91=0,$G$91=2)</formula>
    </cfRule>
  </conditionalFormatting>
  <conditionalFormatting sqref="O116:O123">
    <cfRule type="expression" dxfId="1" priority="2">
      <formula>J116</formula>
    </cfRule>
  </conditionalFormatting>
  <conditionalFormatting sqref="O123">
    <cfRule type="expression" dxfId="0" priority="1">
      <formula>OR($J$116:$J$121)</formula>
    </cfRule>
  </conditionalFormatting>
  <pageMargins left="0.7" right="0.7" top="0.75" bottom="0.75" header="0.3" footer="0.3"/>
  <pageSetup paperSize="331"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01F27488-0735-433F-9898-C1CACDF481E3}">
          <x14:formula1>
            <xm:f>choices!$A$3:$A$7</xm:f>
          </x14:formula1>
          <xm:sqref>C4:C11</xm:sqref>
        </x14:dataValidation>
        <x14:dataValidation type="list" allowBlank="1" showInputMessage="1" showErrorMessage="1" xr:uid="{74AC7708-E19D-4591-88FF-7EEE0F6A54B3}">
          <x14:formula1>
            <xm:f>choices!$D$3:$D$5</xm:f>
          </x14:formula1>
          <xm:sqref>C12</xm:sqref>
        </x14:dataValidation>
        <x14:dataValidation type="list" allowBlank="1" showInputMessage="1" showErrorMessage="1" xr:uid="{31A698C3-086C-4E25-9B7A-B6908CF8DA13}">
          <x14:formula1>
            <xm:f>choices!$H$3:$H$4</xm:f>
          </x14:formula1>
          <xm:sqref>C13 C26 C20:C21 C91 C98</xm:sqref>
        </x14:dataValidation>
        <x14:dataValidation type="list" allowBlank="1" showInputMessage="1" showErrorMessage="1" xr:uid="{CB2F5F02-D76F-487E-A66D-FD0F696E0840}">
          <x14:formula1>
            <xm:f>choices!$L$3:$L$4</xm:f>
          </x14:formula1>
          <xm:sqref>C14</xm:sqref>
        </x14:dataValidation>
        <x14:dataValidation type="list" allowBlank="1" showInputMessage="1" showErrorMessage="1" xr:uid="{550C2049-1E91-443B-839B-23C137D5371D}">
          <x14:formula1>
            <xm:f>choices!$P$3:$P$5</xm:f>
          </x14:formula1>
          <xm:sqref>C27</xm:sqref>
        </x14:dataValidation>
        <x14:dataValidation type="list" allowBlank="1" showInputMessage="1" showErrorMessage="1" xr:uid="{F54CF54B-7E60-44E0-9F58-5B361FE88297}">
          <x14:formula1>
            <xm:f>choices!$S$3:$S$7</xm:f>
          </x14:formula1>
          <xm:sqref>C29:C35 C39:C47 C50:C53 C109 C61:C67 C71:C74 C76:C79 C55:C58 C84:C90 C101 C103:C104 C106:C107 C81</xm:sqref>
        </x14:dataValidation>
        <x14:dataValidation type="list" allowBlank="1" showInputMessage="1" showErrorMessage="1" xr:uid="{5986086F-D59D-46BE-A5E7-F80284AD8F97}">
          <x14:formula1>
            <xm:f>choices!$V$3:$V$5</xm:f>
          </x14:formula1>
          <xm:sqref>C36</xm:sqref>
        </x14:dataValidation>
        <x14:dataValidation type="list" allowBlank="1" showInputMessage="1" showErrorMessage="1" xr:uid="{82E0D72E-1D80-4809-92F0-5DF0FD76114F}">
          <x14:formula1>
            <xm:f>choices!$Z$3:$Z$5</xm:f>
          </x14:formula1>
          <xm:sqref>C37</xm:sqref>
        </x14:dataValidation>
        <x14:dataValidation type="list" allowBlank="1" showInputMessage="1" showErrorMessage="1" xr:uid="{3242F6A6-ECE1-43BB-A83C-80BF0C5DF994}">
          <x14:formula1>
            <xm:f>choices!$AD$3:$AD$5</xm:f>
          </x14:formula1>
          <xm:sqref>C68</xm:sqref>
        </x14:dataValidation>
        <x14:dataValidation type="list" allowBlank="1" showInputMessage="1" showErrorMessage="1" xr:uid="{1B4DC47B-3545-4CA9-9939-04082F60D97F}">
          <x14:formula1>
            <xm:f>choices!$AG$3:$AG$7</xm:f>
          </x14:formula1>
          <xm:sqref>C80 C102</xm:sqref>
        </x14:dataValidation>
        <x14:dataValidation type="list" allowBlank="1" showInputMessage="1" showErrorMessage="1" xr:uid="{0F7F5D39-1518-458E-8C67-064A7F805A79}">
          <x14:formula1>
            <xm:f>choices!$AJ$3:$AJ$8</xm:f>
          </x14:formula1>
          <xm:sqref>C108 C110:C112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EE406-9990-4043-AC63-542F90946511}">
  <dimension ref="A1:AZ11"/>
  <sheetViews>
    <sheetView workbookViewId="0"/>
  </sheetViews>
  <sheetFormatPr defaultRowHeight="14.5" x14ac:dyDescent="0.35"/>
  <cols>
    <col min="1" max="1" width="41.81640625" bestFit="1" customWidth="1"/>
    <col min="2" max="2" width="13.54296875" bestFit="1" customWidth="1"/>
    <col min="3" max="3" width="3.1796875" customWidth="1"/>
    <col min="4" max="4" width="38.26953125" bestFit="1" customWidth="1"/>
    <col min="6" max="6" width="13.81640625" bestFit="1" customWidth="1"/>
    <col min="7" max="7" width="3.26953125" customWidth="1"/>
    <col min="10" max="10" width="13.81640625" bestFit="1" customWidth="1"/>
    <col min="11" max="11" width="3.26953125" customWidth="1"/>
    <col min="12" max="12" width="49.7265625" bestFit="1" customWidth="1"/>
    <col min="14" max="14" width="13.81640625" bestFit="1" customWidth="1"/>
    <col min="15" max="15" width="4" customWidth="1"/>
    <col min="16" max="16" width="111" customWidth="1"/>
    <col min="18" max="18" width="3.453125" customWidth="1"/>
    <col min="19" max="19" width="22.7265625" bestFit="1" customWidth="1"/>
    <col min="21" max="21" width="3.453125" customWidth="1"/>
    <col min="22" max="22" width="29.1796875" bestFit="1" customWidth="1"/>
    <col min="23" max="23" width="7.81640625" customWidth="1"/>
    <col min="24" max="24" width="13" customWidth="1"/>
    <col min="25" max="25" width="3.54296875" customWidth="1"/>
    <col min="26" max="26" width="57.1796875" bestFit="1" customWidth="1"/>
    <col min="27" max="27" width="8.54296875" bestFit="1" customWidth="1"/>
    <col min="28" max="28" width="13.81640625" bestFit="1" customWidth="1"/>
    <col min="29" max="29" width="3.7265625" customWidth="1"/>
    <col min="30" max="30" width="77.1796875" bestFit="1" customWidth="1"/>
    <col min="31" max="31" width="9.26953125" customWidth="1"/>
    <col min="32" max="32" width="3.7265625" customWidth="1"/>
    <col min="33" max="33" width="22.7265625" bestFit="1" customWidth="1"/>
    <col min="35" max="35" width="3.7265625" customWidth="1"/>
    <col min="36" max="36" width="22.7265625" bestFit="1" customWidth="1"/>
    <col min="38" max="38" width="4.453125" customWidth="1"/>
    <col min="39" max="39" width="16" customWidth="1"/>
    <col min="40" max="40" width="9.26953125" customWidth="1"/>
    <col min="41" max="41" width="3.453125" customWidth="1"/>
    <col min="42" max="42" width="14.26953125" bestFit="1" customWidth="1"/>
    <col min="43" max="43" width="9.26953125" customWidth="1"/>
    <col min="44" max="44" width="3.7265625" customWidth="1"/>
    <col min="45" max="45" width="14.26953125" bestFit="1" customWidth="1"/>
    <col min="47" max="47" width="3.453125" customWidth="1"/>
    <col min="48" max="48" width="14.26953125" bestFit="1" customWidth="1"/>
    <col min="49" max="49" width="8.54296875" bestFit="1" customWidth="1"/>
    <col min="50" max="50" width="3.453125" customWidth="1"/>
    <col min="51" max="51" width="14.26953125" bestFit="1" customWidth="1"/>
  </cols>
  <sheetData>
    <row r="1" spans="1:52" x14ac:dyDescent="0.35">
      <c r="A1" s="1" t="s">
        <v>127</v>
      </c>
      <c r="B1" s="1"/>
      <c r="C1" s="1"/>
      <c r="D1" s="1" t="s">
        <v>128</v>
      </c>
      <c r="E1" s="1"/>
      <c r="F1" s="1"/>
      <c r="G1" s="1"/>
      <c r="H1" s="1" t="s">
        <v>129</v>
      </c>
      <c r="I1" s="1"/>
      <c r="J1" s="1"/>
      <c r="K1" s="1"/>
      <c r="L1" s="1" t="s">
        <v>130</v>
      </c>
      <c r="M1" s="1"/>
      <c r="N1" s="1"/>
      <c r="O1" s="1"/>
      <c r="P1" s="1" t="s">
        <v>131</v>
      </c>
      <c r="Q1" s="1"/>
      <c r="R1" s="1"/>
      <c r="S1" s="1" t="s">
        <v>132</v>
      </c>
      <c r="T1" s="1"/>
      <c r="U1" s="1"/>
      <c r="V1" s="1" t="s">
        <v>133</v>
      </c>
      <c r="W1" s="1"/>
      <c r="X1" s="1"/>
      <c r="Y1" s="1"/>
      <c r="Z1" s="1" t="s">
        <v>134</v>
      </c>
      <c r="AA1" s="1"/>
      <c r="AB1" s="1"/>
      <c r="AC1" s="1"/>
      <c r="AD1" s="1" t="s">
        <v>249</v>
      </c>
      <c r="AE1" s="1"/>
      <c r="AF1" s="1"/>
      <c r="AG1" s="1" t="s">
        <v>135</v>
      </c>
      <c r="AH1" s="1"/>
      <c r="AI1" s="1"/>
      <c r="AJ1" s="1" t="s">
        <v>136</v>
      </c>
      <c r="AK1" s="1"/>
      <c r="AL1" s="1"/>
      <c r="AM1" s="1" t="s">
        <v>153</v>
      </c>
      <c r="AP1" s="1" t="s">
        <v>154</v>
      </c>
      <c r="AS1" s="1" t="s">
        <v>156</v>
      </c>
      <c r="AV1" s="1" t="s">
        <v>170</v>
      </c>
      <c r="AY1" s="1" t="s">
        <v>252</v>
      </c>
    </row>
    <row r="2" spans="1:52" x14ac:dyDescent="0.35">
      <c r="A2" s="1" t="s">
        <v>137</v>
      </c>
      <c r="B2" s="1" t="s">
        <v>145</v>
      </c>
      <c r="C2" s="1"/>
      <c r="D2" s="1" t="s">
        <v>137</v>
      </c>
      <c r="E2" s="1" t="s">
        <v>145</v>
      </c>
      <c r="F2" s="1" t="s">
        <v>148</v>
      </c>
      <c r="G2" s="1"/>
      <c r="H2" s="1" t="s">
        <v>137</v>
      </c>
      <c r="I2" s="1" t="s">
        <v>145</v>
      </c>
      <c r="J2" s="1" t="s">
        <v>148</v>
      </c>
      <c r="K2" s="1"/>
      <c r="L2" s="1" t="s">
        <v>137</v>
      </c>
      <c r="M2" s="1" t="s">
        <v>145</v>
      </c>
      <c r="N2" s="1" t="s">
        <v>148</v>
      </c>
      <c r="O2" s="1"/>
      <c r="P2" s="1" t="s">
        <v>137</v>
      </c>
      <c r="Q2" s="1" t="s">
        <v>145</v>
      </c>
      <c r="R2" s="1"/>
      <c r="S2" s="1" t="s">
        <v>137</v>
      </c>
      <c r="T2" s="1" t="s">
        <v>145</v>
      </c>
      <c r="U2" s="1"/>
      <c r="V2" s="1" t="s">
        <v>137</v>
      </c>
      <c r="W2" s="1" t="s">
        <v>145</v>
      </c>
      <c r="X2" s="1" t="s">
        <v>148</v>
      </c>
      <c r="Y2" s="1"/>
      <c r="Z2" t="s">
        <v>137</v>
      </c>
      <c r="AA2" s="1" t="s">
        <v>145</v>
      </c>
      <c r="AB2" s="1" t="s">
        <v>148</v>
      </c>
      <c r="AC2" s="1"/>
      <c r="AD2" s="1" t="s">
        <v>137</v>
      </c>
      <c r="AE2" s="1" t="s">
        <v>145</v>
      </c>
      <c r="AF2" s="1"/>
      <c r="AG2" s="1" t="s">
        <v>137</v>
      </c>
      <c r="AH2" s="1" t="s">
        <v>145</v>
      </c>
      <c r="AI2" s="1"/>
      <c r="AJ2" s="1" t="s">
        <v>137</v>
      </c>
      <c r="AK2" s="1" t="s">
        <v>145</v>
      </c>
      <c r="AL2" s="1"/>
      <c r="AM2" s="1" t="s">
        <v>152</v>
      </c>
      <c r="AN2" s="1" t="s">
        <v>145</v>
      </c>
      <c r="AP2" s="1" t="s">
        <v>152</v>
      </c>
      <c r="AQ2" s="1" t="s">
        <v>145</v>
      </c>
      <c r="AS2" s="1" t="s">
        <v>152</v>
      </c>
      <c r="AT2" s="1" t="s">
        <v>145</v>
      </c>
      <c r="AV2" t="s">
        <v>152</v>
      </c>
      <c r="AW2" t="s">
        <v>145</v>
      </c>
      <c r="AY2" s="1" t="s">
        <v>152</v>
      </c>
      <c r="AZ2" s="1" t="s">
        <v>145</v>
      </c>
    </row>
    <row r="3" spans="1:52" x14ac:dyDescent="0.35">
      <c r="A3" t="s">
        <v>138</v>
      </c>
      <c r="B3">
        <v>1</v>
      </c>
      <c r="D3" t="s">
        <v>143</v>
      </c>
      <c r="F3">
        <v>1</v>
      </c>
      <c r="H3" t="s">
        <v>143</v>
      </c>
      <c r="J3">
        <v>1</v>
      </c>
      <c r="L3" t="s">
        <v>150</v>
      </c>
      <c r="N3">
        <v>1</v>
      </c>
      <c r="P3" t="s">
        <v>164</v>
      </c>
      <c r="Q3">
        <v>5</v>
      </c>
      <c r="S3" t="s">
        <v>159</v>
      </c>
      <c r="T3">
        <v>1</v>
      </c>
      <c r="V3" t="s">
        <v>168</v>
      </c>
      <c r="X3">
        <v>1</v>
      </c>
      <c r="Z3" t="s">
        <v>143</v>
      </c>
      <c r="AB3">
        <v>1</v>
      </c>
      <c r="AD3" t="s">
        <v>143</v>
      </c>
      <c r="AE3">
        <v>5</v>
      </c>
      <c r="AG3" t="s">
        <v>159</v>
      </c>
      <c r="AH3">
        <v>5</v>
      </c>
      <c r="AJ3" t="s">
        <v>159</v>
      </c>
      <c r="AK3">
        <v>1</v>
      </c>
      <c r="AM3" t="str">
        <f>"111"</f>
        <v>111</v>
      </c>
      <c r="AN3">
        <v>5</v>
      </c>
      <c r="AP3" t="str">
        <f>"10001"</f>
        <v>10001</v>
      </c>
      <c r="AQ3">
        <v>5</v>
      </c>
      <c r="AS3" t="str">
        <f>"11001"</f>
        <v>11001</v>
      </c>
      <c r="AT3">
        <v>5</v>
      </c>
      <c r="AV3" t="str">
        <f>"11"</f>
        <v>11</v>
      </c>
      <c r="AW3">
        <v>4</v>
      </c>
      <c r="AY3" t="str">
        <f>"11401"</f>
        <v>11401</v>
      </c>
      <c r="AZ3">
        <v>3</v>
      </c>
    </row>
    <row r="4" spans="1:52" x14ac:dyDescent="0.35">
      <c r="A4" t="s">
        <v>139</v>
      </c>
      <c r="B4">
        <v>2</v>
      </c>
      <c r="D4" t="s">
        <v>149</v>
      </c>
      <c r="E4">
        <v>2</v>
      </c>
      <c r="F4">
        <v>2</v>
      </c>
      <c r="H4" t="s">
        <v>144</v>
      </c>
      <c r="J4">
        <v>2</v>
      </c>
      <c r="L4" t="s">
        <v>151</v>
      </c>
      <c r="N4">
        <v>2</v>
      </c>
      <c r="P4" t="s">
        <v>165</v>
      </c>
      <c r="Q4">
        <v>4</v>
      </c>
      <c r="S4" t="s">
        <v>160</v>
      </c>
      <c r="T4">
        <v>2</v>
      </c>
      <c r="V4" t="s">
        <v>169</v>
      </c>
      <c r="X4">
        <v>2</v>
      </c>
      <c r="Z4" t="s">
        <v>144</v>
      </c>
      <c r="AB4">
        <v>2</v>
      </c>
      <c r="AD4" t="s">
        <v>250</v>
      </c>
      <c r="AE4">
        <v>3</v>
      </c>
      <c r="AG4" t="s">
        <v>160</v>
      </c>
      <c r="AH4">
        <v>4</v>
      </c>
      <c r="AJ4" t="s">
        <v>160</v>
      </c>
      <c r="AK4">
        <v>2</v>
      </c>
      <c r="AM4" t="str">
        <f>"112"</f>
        <v>112</v>
      </c>
      <c r="AN4">
        <v>4</v>
      </c>
      <c r="AP4" t="str">
        <f>"10002"</f>
        <v>10002</v>
      </c>
      <c r="AQ4">
        <v>3</v>
      </c>
      <c r="AS4" t="str">
        <f>"11002"</f>
        <v>11002</v>
      </c>
      <c r="AT4">
        <v>3</v>
      </c>
      <c r="AV4" t="str">
        <f>"12"</f>
        <v>12</v>
      </c>
      <c r="AW4">
        <v>2</v>
      </c>
      <c r="AY4" t="str">
        <f>"11402"</f>
        <v>11402</v>
      </c>
      <c r="AZ4">
        <v>2</v>
      </c>
    </row>
    <row r="5" spans="1:52" x14ac:dyDescent="0.35">
      <c r="A5" t="s">
        <v>140</v>
      </c>
      <c r="B5">
        <v>3</v>
      </c>
      <c r="D5" t="s">
        <v>144</v>
      </c>
      <c r="E5">
        <v>1</v>
      </c>
      <c r="F5">
        <v>3</v>
      </c>
      <c r="P5" t="s">
        <v>158</v>
      </c>
      <c r="Q5">
        <v>1</v>
      </c>
      <c r="S5" t="s">
        <v>161</v>
      </c>
      <c r="T5">
        <v>3</v>
      </c>
      <c r="V5" t="s">
        <v>144</v>
      </c>
      <c r="X5">
        <v>3</v>
      </c>
      <c r="Z5" t="s">
        <v>167</v>
      </c>
      <c r="AB5">
        <v>3</v>
      </c>
      <c r="AD5" t="s">
        <v>144</v>
      </c>
      <c r="AE5">
        <v>1</v>
      </c>
      <c r="AG5" t="s">
        <v>161</v>
      </c>
      <c r="AH5">
        <v>3</v>
      </c>
      <c r="AJ5" t="s">
        <v>161</v>
      </c>
      <c r="AK5">
        <v>3</v>
      </c>
      <c r="AM5" t="str">
        <f>"121"</f>
        <v>121</v>
      </c>
      <c r="AN5">
        <v>4</v>
      </c>
      <c r="AP5" t="str">
        <f>"02001"</f>
        <v>02001</v>
      </c>
      <c r="AQ5">
        <v>3</v>
      </c>
      <c r="AS5" t="str">
        <f>"10201"</f>
        <v>10201</v>
      </c>
      <c r="AT5">
        <v>3</v>
      </c>
      <c r="AV5" t="str">
        <f>"13"</f>
        <v>13</v>
      </c>
      <c r="AW5">
        <v>5</v>
      </c>
      <c r="AY5" t="str">
        <f>"1051"</f>
        <v>1051</v>
      </c>
      <c r="AZ5">
        <v>2</v>
      </c>
    </row>
    <row r="6" spans="1:52" x14ac:dyDescent="0.35">
      <c r="A6" t="s">
        <v>142</v>
      </c>
      <c r="B6">
        <v>4</v>
      </c>
      <c r="S6" t="s">
        <v>162</v>
      </c>
      <c r="T6">
        <v>4</v>
      </c>
      <c r="AG6" t="s">
        <v>162</v>
      </c>
      <c r="AH6">
        <v>2</v>
      </c>
      <c r="AJ6" t="s">
        <v>162</v>
      </c>
      <c r="AK6">
        <v>4</v>
      </c>
      <c r="AM6" t="str">
        <f>"122"</f>
        <v>122</v>
      </c>
      <c r="AN6">
        <v>3</v>
      </c>
      <c r="AP6" t="str">
        <f>"02002"</f>
        <v>02002</v>
      </c>
      <c r="AQ6">
        <v>2</v>
      </c>
      <c r="AS6" t="str">
        <f>"10202"</f>
        <v>10202</v>
      </c>
      <c r="AT6">
        <v>2</v>
      </c>
      <c r="AV6" t="str">
        <f>"21"</f>
        <v>21</v>
      </c>
      <c r="AW6">
        <v>3</v>
      </c>
      <c r="AY6" t="str">
        <f>"1052"</f>
        <v>1052</v>
      </c>
      <c r="AZ6">
        <v>1</v>
      </c>
    </row>
    <row r="7" spans="1:52" x14ac:dyDescent="0.35">
      <c r="A7" t="s">
        <v>141</v>
      </c>
      <c r="B7">
        <v>5</v>
      </c>
      <c r="S7" t="s">
        <v>163</v>
      </c>
      <c r="T7">
        <v>5</v>
      </c>
      <c r="AG7" t="s">
        <v>163</v>
      </c>
      <c r="AH7">
        <v>1</v>
      </c>
      <c r="AJ7" t="s">
        <v>163</v>
      </c>
      <c r="AK7">
        <v>5</v>
      </c>
      <c r="AM7" t="str">
        <f>"2"</f>
        <v>2</v>
      </c>
      <c r="AN7">
        <v>2</v>
      </c>
      <c r="AP7" t="str">
        <f>"02301"</f>
        <v>02301</v>
      </c>
      <c r="AQ7">
        <v>5</v>
      </c>
      <c r="AS7" t="str">
        <f>"10231"</f>
        <v>10231</v>
      </c>
      <c r="AT7">
        <v>5</v>
      </c>
      <c r="AV7" t="str">
        <f>"22"</f>
        <v>22</v>
      </c>
      <c r="AW7">
        <v>1</v>
      </c>
      <c r="AY7" t="str">
        <f>"200"</f>
        <v>200</v>
      </c>
      <c r="AZ7">
        <v>5</v>
      </c>
    </row>
    <row r="8" spans="1:52" x14ac:dyDescent="0.35">
      <c r="AJ8" t="s">
        <v>166</v>
      </c>
      <c r="AK8" t="s">
        <v>253</v>
      </c>
      <c r="AM8" t="str">
        <f>"3"</f>
        <v>3</v>
      </c>
      <c r="AN8">
        <v>1</v>
      </c>
      <c r="AP8" t="str">
        <f>"02302"</f>
        <v>02302</v>
      </c>
      <c r="AQ8">
        <v>3</v>
      </c>
      <c r="AS8" t="str">
        <f>"10232"</f>
        <v>10232</v>
      </c>
      <c r="AT8">
        <v>3</v>
      </c>
      <c r="AV8" t="str">
        <f>"23"</f>
        <v>23</v>
      </c>
      <c r="AW8">
        <v>4</v>
      </c>
    </row>
    <row r="9" spans="1:52" x14ac:dyDescent="0.35">
      <c r="AP9" t="str">
        <f>"00301"</f>
        <v>00301</v>
      </c>
      <c r="AQ9">
        <v>2</v>
      </c>
      <c r="AS9" t="str">
        <f>"10031"</f>
        <v>10031</v>
      </c>
      <c r="AT9">
        <v>2</v>
      </c>
      <c r="AV9" t="str">
        <f>"30"</f>
        <v>30</v>
      </c>
      <c r="AW9">
        <v>1</v>
      </c>
    </row>
    <row r="10" spans="1:52" x14ac:dyDescent="0.35">
      <c r="AP10" t="str">
        <f>"00302"</f>
        <v>00302</v>
      </c>
      <c r="AQ10">
        <v>2</v>
      </c>
      <c r="AS10" t="str">
        <f>"10032"</f>
        <v>10032</v>
      </c>
      <c r="AT10">
        <v>2</v>
      </c>
    </row>
    <row r="11" spans="1:52" x14ac:dyDescent="0.35">
      <c r="AP11" t="str">
        <f>"0004"</f>
        <v>0004</v>
      </c>
      <c r="AQ11">
        <v>1</v>
      </c>
      <c r="AS11" t="str">
        <f>"20000"</f>
        <v>20000</v>
      </c>
      <c r="AT11">
        <v>1</v>
      </c>
    </row>
  </sheetData>
  <pageMargins left="0.7" right="0.7" top="0.75" bottom="0.75" header="0.3" footer="0.3"/>
  <pageSetup paperSize="9" orientation="portrait" horizontalDpi="1200" verticalDpi="1200" r:id="rId1"/>
  <tableParts count="16">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page</vt:lpstr>
      <vt:lpstr>Assessment tool</vt:lpstr>
      <vt:lpstr>choices</vt:lpstr>
    </vt:vector>
  </TitlesOfParts>
  <Company>National Archives of Australia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Rankin</dc:creator>
  <cp:lastModifiedBy>Russell Pym</cp:lastModifiedBy>
  <dcterms:created xsi:type="dcterms:W3CDTF">2026-08-17T00:11:35Z</dcterms:created>
  <dcterms:modified xsi:type="dcterms:W3CDTF">2026-08-27T23:08:50Z</dcterms:modified>
</cp:coreProperties>
</file>